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4"/>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C40" i="13"/>
  <c r="D40" i="13" s="1"/>
  <c r="A40" i="13"/>
  <c r="F20" i="12"/>
  <c r="C20" i="13"/>
  <c r="A20" i="13"/>
  <c r="J19" i="12"/>
  <c r="C19" i="13"/>
  <c r="A19" i="13"/>
  <c r="C18" i="13"/>
  <c r="D18" i="13" s="1"/>
  <c r="A18" i="13"/>
  <c r="D19" i="13"/>
  <c r="O6" i="12"/>
  <c r="N24" i="17"/>
  <c r="J47" i="12"/>
  <c r="F47" i="12"/>
  <c r="C47" i="13"/>
  <c r="A47" i="13"/>
  <c r="E47" i="13" s="1"/>
  <c r="Q47" i="12" s="1"/>
  <c r="J46" i="12"/>
  <c r="F46" i="12"/>
  <c r="C46" i="13"/>
  <c r="A46" i="13"/>
  <c r="J45" i="12"/>
  <c r="F45" i="12"/>
  <c r="C45" i="13"/>
  <c r="A45" i="13"/>
  <c r="E45" i="13" s="1"/>
  <c r="Q45" i="12" s="1"/>
  <c r="J44" i="12"/>
  <c r="F44" i="12"/>
  <c r="C44" i="13"/>
  <c r="A44" i="13"/>
  <c r="J43" i="12"/>
  <c r="C43" i="13"/>
  <c r="D43" i="13" s="1"/>
  <c r="A43" i="13"/>
  <c r="F42" i="12"/>
  <c r="C42" i="13"/>
  <c r="A42" i="13"/>
  <c r="F41" i="12"/>
  <c r="C41" i="13"/>
  <c r="D41" i="13" s="1"/>
  <c r="A41" i="13"/>
  <c r="J39" i="12"/>
  <c r="C39" i="13"/>
  <c r="D39" i="13" s="1"/>
  <c r="A39" i="13"/>
  <c r="F38" i="12"/>
  <c r="C38" i="13"/>
  <c r="D38" i="13" s="1"/>
  <c r="A38" i="13"/>
  <c r="F37" i="12"/>
  <c r="C37" i="13"/>
  <c r="D37" i="13" s="1"/>
  <c r="A37" i="13"/>
  <c r="J36" i="12"/>
  <c r="C36" i="13"/>
  <c r="A36" i="13"/>
  <c r="J35" i="12"/>
  <c r="C35" i="13"/>
  <c r="D35" i="13" s="1"/>
  <c r="A35" i="13"/>
  <c r="F34" i="12"/>
  <c r="C34" i="13"/>
  <c r="A34" i="13"/>
  <c r="F33" i="12"/>
  <c r="C33" i="13"/>
  <c r="D33" i="13" s="1"/>
  <c r="A33" i="13"/>
  <c r="J32" i="12"/>
  <c r="C32" i="13"/>
  <c r="D32" i="13" s="1"/>
  <c r="A32" i="13"/>
  <c r="J31" i="12"/>
  <c r="C31" i="13"/>
  <c r="D31" i="13" s="1"/>
  <c r="A31" i="13"/>
  <c r="F30" i="12"/>
  <c r="C30" i="13"/>
  <c r="A30" i="13"/>
  <c r="F29" i="12"/>
  <c r="C29" i="13"/>
  <c r="D29" i="13" s="1"/>
  <c r="A29" i="13"/>
  <c r="J28" i="12"/>
  <c r="C28" i="13"/>
  <c r="D28" i="13" s="1"/>
  <c r="A28" i="13"/>
  <c r="J27" i="12"/>
  <c r="C27" i="13"/>
  <c r="A27" i="13"/>
  <c r="E27" i="13" s="1"/>
  <c r="Q27" i="12" s="1"/>
  <c r="F27" i="12" s="1"/>
  <c r="D47" i="13"/>
  <c r="D46" i="13"/>
  <c r="D45" i="13"/>
  <c r="D44" i="13"/>
  <c r="D42" i="13"/>
  <c r="D36" i="13"/>
  <c r="M31" i="17"/>
  <c r="M30" i="17"/>
  <c r="M22" i="17"/>
  <c r="M21" i="17"/>
  <c r="M20" i="17"/>
  <c r="M19" i="17"/>
  <c r="M18" i="17"/>
  <c r="I22" i="17"/>
  <c r="I21" i="17"/>
  <c r="I20" i="17"/>
  <c r="I19" i="17"/>
  <c r="I18" i="17"/>
  <c r="B59" i="16"/>
  <c r="B58" i="16"/>
  <c r="F25" i="12"/>
  <c r="F24" i="12"/>
  <c r="J23" i="12"/>
  <c r="C24" i="13"/>
  <c r="D24" i="13" s="1"/>
  <c r="A24" i="13"/>
  <c r="J26" i="12"/>
  <c r="C25" i="13"/>
  <c r="D25" i="13" s="1"/>
  <c r="A25" i="13"/>
  <c r="D27" i="13"/>
  <c r="J22" i="12"/>
  <c r="F21" i="12"/>
  <c r="C22" i="13"/>
  <c r="D22" i="13" s="1"/>
  <c r="A22" i="13"/>
  <c r="AA1" i="12"/>
  <c r="C26" i="13"/>
  <c r="D26" i="13" s="1"/>
  <c r="A26" i="13"/>
  <c r="C23" i="13"/>
  <c r="A23" i="13"/>
  <c r="E23" i="13" s="1"/>
  <c r="Q23" i="12" s="1"/>
  <c r="F23" i="12" s="1"/>
  <c r="C21" i="13"/>
  <c r="A21" i="13"/>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4" i="17"/>
  <c r="P39" i="17"/>
  <c r="A39" i="17"/>
  <c r="C39" i="17" s="1"/>
  <c r="C38" i="17"/>
  <c r="A28" i="17"/>
  <c r="C28"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C3" i="17"/>
  <c r="R19" i="17" s="1"/>
  <c r="I33" i="17"/>
  <c r="N26" i="17"/>
  <c r="D23" i="13"/>
  <c r="D21" i="13"/>
  <c r="D20" i="13"/>
  <c r="E25" i="13"/>
  <c r="Q25" i="12" s="1"/>
  <c r="A40" i="17"/>
  <c r="C40" i="17" s="1"/>
  <c r="A46" i="17"/>
  <c r="A47" i="17" s="1"/>
  <c r="C45" i="17"/>
  <c r="C15" i="17"/>
  <c r="E37" i="13"/>
  <c r="Q37" i="12" s="1"/>
  <c r="E39" i="13"/>
  <c r="Q39" i="12" s="1"/>
  <c r="F39" i="12" s="1"/>
  <c r="E42" i="13"/>
  <c r="Q42" i="12" s="1"/>
  <c r="E44" i="13"/>
  <c r="Q44" i="12" s="1"/>
  <c r="E46" i="13"/>
  <c r="Q46" i="12" s="1"/>
  <c r="C46" i="17"/>
  <c r="Q19" i="17"/>
  <c r="P18" i="17"/>
  <c r="P19" i="17"/>
  <c r="A41" i="17"/>
  <c r="C41" i="17" s="1"/>
  <c r="E35" i="13"/>
  <c r="Q35" i="12" s="1"/>
  <c r="F35" i="12" s="1"/>
  <c r="E40" i="13"/>
  <c r="Q40" i="12" s="1"/>
  <c r="F40" i="12" s="1"/>
  <c r="E24" i="13"/>
  <c r="Q24" i="12" s="1"/>
  <c r="E31" i="13"/>
  <c r="Q31" i="12" s="1"/>
  <c r="F31" i="12" s="1"/>
  <c r="E20" i="13"/>
  <c r="Q20" i="12" s="1"/>
  <c r="A42" i="17"/>
  <c r="A43" i="17" s="1"/>
  <c r="C43" i="17" s="1"/>
  <c r="D30" i="13"/>
  <c r="D34" i="13"/>
  <c r="U36" i="16"/>
  <c r="X36" i="16"/>
  <c r="V36" i="16"/>
  <c r="W36" i="16"/>
  <c r="A29" i="17" l="1"/>
  <c r="Q18" i="17"/>
  <c r="E21" i="13"/>
  <c r="Q21" i="12" s="1"/>
  <c r="E19" i="13"/>
  <c r="Q19" i="12" s="1"/>
  <c r="F19" i="12" s="1"/>
  <c r="E36" i="13"/>
  <c r="Q36" i="12" s="1"/>
  <c r="F36" i="12" s="1"/>
  <c r="E43" i="13"/>
  <c r="Q43" i="12" s="1"/>
  <c r="F43" i="12" s="1"/>
  <c r="E41" i="13"/>
  <c r="Q41" i="12" s="1"/>
  <c r="E38" i="13"/>
  <c r="Q38" i="12" s="1"/>
  <c r="E33" i="13"/>
  <c r="Q33" i="12" s="1"/>
  <c r="E30" i="13"/>
  <c r="Q30" i="12" s="1"/>
  <c r="E29" i="13"/>
  <c r="Q29" i="12" s="1"/>
  <c r="E28" i="13"/>
  <c r="Q28" i="12" s="1"/>
  <c r="F28" i="12" s="1"/>
  <c r="E22" i="13"/>
  <c r="Q22" i="12" s="1"/>
  <c r="F22" i="12" s="1"/>
  <c r="A16" i="12"/>
  <c r="D2" i="12"/>
  <c r="W16" i="12"/>
  <c r="B13" i="11" s="1"/>
  <c r="E2" i="12"/>
  <c r="B16" i="12"/>
  <c r="C17" i="17"/>
  <c r="A18" i="17"/>
  <c r="B2" i="12"/>
  <c r="C2" i="12"/>
  <c r="A2" i="12"/>
  <c r="I17" i="12"/>
  <c r="C17" i="12" s="1"/>
  <c r="C16" i="12"/>
  <c r="D16" i="12"/>
  <c r="E18" i="13"/>
  <c r="Q18" i="12" s="1"/>
  <c r="F18" i="12" s="1"/>
  <c r="E2" i="13"/>
  <c r="Q2" i="12" s="1"/>
  <c r="R18" i="17"/>
  <c r="E16" i="13"/>
  <c r="Q16" i="12" s="1"/>
  <c r="C47" i="17"/>
  <c r="A48" i="17"/>
  <c r="A49" i="17" s="1"/>
  <c r="C49" i="17" s="1"/>
  <c r="C42" i="17"/>
  <c r="E26" i="13"/>
  <c r="Q26" i="12" s="1"/>
  <c r="F26" i="12" s="1"/>
  <c r="A17" i="11"/>
  <c r="A19" i="11" s="1"/>
  <c r="A21" i="11" s="1"/>
  <c r="A23" i="11" s="1"/>
  <c r="A25" i="11" s="1"/>
  <c r="A27" i="11" s="1"/>
  <c r="A29" i="11" s="1"/>
  <c r="A31" i="11" s="1"/>
  <c r="A33" i="11" s="1"/>
  <c r="A35" i="11" s="1"/>
  <c r="A37" i="11" s="1"/>
  <c r="A10" i="11" s="1"/>
  <c r="E17" i="13"/>
  <c r="Q17" i="12" s="1"/>
  <c r="E32" i="13"/>
  <c r="Q32" i="12" s="1"/>
  <c r="F32" i="12" s="1"/>
  <c r="E34" i="13"/>
  <c r="Q34" i="12" s="1"/>
  <c r="N25" i="17"/>
  <c r="F132" i="16"/>
  <c r="X247" i="16"/>
  <c r="W247" i="16"/>
  <c r="F131" i="16"/>
  <c r="V247" i="16"/>
  <c r="F130" i="16"/>
  <c r="U247" i="16"/>
  <c r="F129" i="16"/>
  <c r="H15" i="12"/>
  <c r="V15" i="12" s="1"/>
  <c r="B1" i="11"/>
  <c r="A5" i="17"/>
  <c r="C4" i="17"/>
  <c r="A24" i="17"/>
  <c r="C23" i="17"/>
  <c r="C22" i="17"/>
  <c r="C48" i="17"/>
  <c r="D17" i="13"/>
  <c r="A32" i="17" l="1"/>
  <c r="C29" i="17"/>
  <c r="L2" i="12"/>
  <c r="B2" i="13" s="1"/>
  <c r="J16" i="12"/>
  <c r="H16" i="12" s="1"/>
  <c r="V16" i="12" s="1"/>
  <c r="L16" i="12"/>
  <c r="B16" i="13" s="1"/>
  <c r="W17" i="12"/>
  <c r="A17" i="12"/>
  <c r="A19" i="17"/>
  <c r="C18" i="17"/>
  <c r="I18" i="12"/>
  <c r="C18" i="12" s="1"/>
  <c r="B17" i="12"/>
  <c r="E17" i="12"/>
  <c r="D17" i="12"/>
  <c r="G2" i="12"/>
  <c r="H2" i="12" s="1"/>
  <c r="V2" i="12" s="1"/>
  <c r="O25" i="17"/>
  <c r="N27" i="17"/>
  <c r="A12" i="11"/>
  <c r="P20" i="17"/>
  <c r="Q20" i="17"/>
  <c r="R20" i="17"/>
  <c r="D1" i="11"/>
  <c r="E1" i="11"/>
  <c r="C1" i="11"/>
  <c r="D13" i="11"/>
  <c r="C24" i="17"/>
  <c r="A25" i="17"/>
  <c r="A6" i="17"/>
  <c r="C5" i="17"/>
  <c r="T36" i="16"/>
  <c r="C32" i="17" l="1"/>
  <c r="A33" i="17"/>
  <c r="W18" i="12"/>
  <c r="G17" i="12"/>
  <c r="C13" i="11"/>
  <c r="B18" i="12"/>
  <c r="E18" i="12"/>
  <c r="A18" i="12"/>
  <c r="L17" i="12"/>
  <c r="B17" i="13" s="1"/>
  <c r="I19" i="12"/>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A34" i="17" l="1"/>
  <c r="C34" i="17" s="1"/>
  <c r="C33" i="17"/>
  <c r="A19" i="12"/>
  <c r="J18" i="12"/>
  <c r="C19" i="12"/>
  <c r="D19" i="12"/>
  <c r="W19" i="12"/>
  <c r="B19" i="12"/>
  <c r="E19" i="12"/>
  <c r="I20" i="12"/>
  <c r="L18" i="12"/>
  <c r="B18" i="13" s="1"/>
  <c r="G18" i="12"/>
  <c r="H18" i="12" s="1"/>
  <c r="V18" i="12" s="1"/>
  <c r="P26" i="17"/>
  <c r="R26" i="17"/>
  <c r="P22" i="17"/>
  <c r="Q26" i="17"/>
  <c r="T18" i="12"/>
  <c r="AA23" i="12"/>
  <c r="T34" i="12"/>
  <c r="AA46" i="12"/>
  <c r="T33" i="12"/>
  <c r="T47" i="12"/>
  <c r="U47" i="12" s="1"/>
  <c r="T38" i="12"/>
  <c r="AA2" i="12"/>
  <c r="AA38" i="12"/>
  <c r="T23" i="12"/>
  <c r="U23" i="12" s="1"/>
  <c r="AA39" i="12"/>
  <c r="AA22" i="12"/>
  <c r="AA40" i="12"/>
  <c r="AA18" i="12"/>
  <c r="AA29" i="12"/>
  <c r="T22" i="12"/>
  <c r="U22" i="12" s="1"/>
  <c r="T40" i="12"/>
  <c r="U40" i="12" s="1"/>
  <c r="AA34" i="12"/>
  <c r="T42" i="12"/>
  <c r="AA45" i="12"/>
  <c r="T24" i="12"/>
  <c r="T36" i="12"/>
  <c r="U36" i="12" s="1"/>
  <c r="T28" i="12"/>
  <c r="U28" i="12" s="1"/>
  <c r="T21" i="12"/>
  <c r="T39" i="12"/>
  <c r="U39" i="12" s="1"/>
  <c r="T35" i="12"/>
  <c r="U35" i="12" s="1"/>
  <c r="T27" i="12"/>
  <c r="U27" i="12" s="1"/>
  <c r="T41" i="12"/>
  <c r="T2" i="12"/>
  <c r="U2" i="12" s="1"/>
  <c r="AA28" i="12"/>
  <c r="AA24" i="12"/>
  <c r="AA41" i="12"/>
  <c r="AA26" i="12"/>
  <c r="AA31" i="12"/>
  <c r="T30" i="12"/>
  <c r="AA16" i="12"/>
  <c r="T29" i="12"/>
  <c r="T43" i="12"/>
  <c r="U43" i="12" s="1"/>
  <c r="AA27" i="12"/>
  <c r="AA36" i="12"/>
  <c r="T26" i="12"/>
  <c r="U26" i="12" s="1"/>
  <c r="AA42" i="12"/>
  <c r="AA30" i="12"/>
  <c r="AA43" i="12"/>
  <c r="AA44" i="12"/>
  <c r="AA20" i="12"/>
  <c r="AA47" i="12"/>
  <c r="T25" i="12"/>
  <c r="T19" i="12"/>
  <c r="U19" i="12" s="1"/>
  <c r="T46" i="12"/>
  <c r="U46" i="12" s="1"/>
  <c r="T37" i="12"/>
  <c r="AA32" i="12"/>
  <c r="T20" i="12"/>
  <c r="T32" i="12"/>
  <c r="U32" i="12" s="1"/>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A20" i="12" l="1"/>
  <c r="D20" i="12"/>
  <c r="B20" i="12"/>
  <c r="E20" i="12"/>
  <c r="C20" i="12"/>
  <c r="G19" i="12"/>
  <c r="H19" i="12" s="1"/>
  <c r="V19" i="12" s="1"/>
  <c r="L19" i="12"/>
  <c r="B19" i="13" s="1"/>
  <c r="W20" i="12"/>
  <c r="I21" i="12"/>
  <c r="I22" i="12" s="1"/>
  <c r="O26" i="17"/>
  <c r="O27" i="17" s="1"/>
  <c r="J20" i="12" l="1"/>
  <c r="W21" i="12"/>
  <c r="G20" i="12"/>
  <c r="H20" i="12" s="1"/>
  <c r="V20" i="12" s="1"/>
  <c r="L20" i="12"/>
  <c r="B20" i="13" s="1"/>
  <c r="A21" i="12"/>
  <c r="B21" i="12"/>
  <c r="B22" i="12" s="1"/>
  <c r="E21" i="12"/>
  <c r="D21" i="12"/>
  <c r="C21" i="12"/>
  <c r="C22" i="12" s="1"/>
  <c r="I23" i="12"/>
  <c r="D22" i="12"/>
  <c r="W22" i="12"/>
  <c r="E22" i="12"/>
  <c r="J21" i="12" l="1"/>
  <c r="G21" i="12"/>
  <c r="A22" i="12"/>
  <c r="L22" i="12" s="1"/>
  <c r="B22" i="13" s="1"/>
  <c r="L21" i="12"/>
  <c r="B21" i="13" s="1"/>
  <c r="G22" i="12"/>
  <c r="H22" i="12" s="1"/>
  <c r="V22" i="12" s="1"/>
  <c r="E23" i="12"/>
  <c r="B23" i="12"/>
  <c r="C23" i="12"/>
  <c r="D23" i="12"/>
  <c r="I24" i="12"/>
  <c r="W23" i="12"/>
  <c r="H21" i="12" l="1"/>
  <c r="V21" i="12" s="1"/>
  <c r="A23" i="12"/>
  <c r="G23" i="12" s="1"/>
  <c r="H23" i="12" s="1"/>
  <c r="V23" i="12" s="1"/>
  <c r="E24" i="12"/>
  <c r="B24" i="12"/>
  <c r="W24" i="12"/>
  <c r="I25" i="12"/>
  <c r="C24" i="12"/>
  <c r="D24" i="12"/>
  <c r="L23" i="12" l="1"/>
  <c r="B23" i="13" s="1"/>
  <c r="A24" i="12"/>
  <c r="A25" i="12" s="1"/>
  <c r="W25" i="12"/>
  <c r="D25" i="12"/>
  <c r="C25" i="12"/>
  <c r="E25" i="12"/>
  <c r="I26" i="12"/>
  <c r="B25" i="12"/>
  <c r="J25" i="12" l="1"/>
  <c r="L24" i="12"/>
  <c r="B24" i="13" s="1"/>
  <c r="J24" i="12"/>
  <c r="G24" i="12"/>
  <c r="A26" i="12"/>
  <c r="C26" i="12"/>
  <c r="D26" i="12"/>
  <c r="W26" i="12"/>
  <c r="I27" i="12"/>
  <c r="B26" i="12"/>
  <c r="E26" i="12"/>
  <c r="L25" i="12"/>
  <c r="B25" i="13" s="1"/>
  <c r="G25" i="12"/>
  <c r="H25" i="12" s="1"/>
  <c r="V25" i="12" s="1"/>
  <c r="H24" i="12" l="1"/>
  <c r="V24" i="12" s="1"/>
  <c r="C27" i="12"/>
  <c r="E27" i="12"/>
  <c r="D27" i="12"/>
  <c r="B27" i="12"/>
  <c r="A27" i="12"/>
  <c r="I28" i="12"/>
  <c r="W27" i="12"/>
  <c r="G26" i="12"/>
  <c r="H26" i="12" s="1"/>
  <c r="V26" i="12" s="1"/>
  <c r="L26" i="12"/>
  <c r="B26" i="13" s="1"/>
  <c r="L27" i="12" l="1"/>
  <c r="B27" i="13" s="1"/>
  <c r="G27" i="12"/>
  <c r="H27" i="12" s="1"/>
  <c r="V27" i="12" s="1"/>
  <c r="D28" i="12"/>
  <c r="B28" i="12"/>
  <c r="W28" i="12"/>
  <c r="A28" i="12"/>
  <c r="I29" i="12"/>
  <c r="E28" i="12"/>
  <c r="C28" i="12"/>
  <c r="C29" i="12" l="1"/>
  <c r="I30" i="12"/>
  <c r="A29" i="12"/>
  <c r="E29" i="12"/>
  <c r="W29" i="12"/>
  <c r="B29" i="12"/>
  <c r="D29" i="12"/>
  <c r="L28" i="12"/>
  <c r="B28" i="13" s="1"/>
  <c r="G28" i="12"/>
  <c r="H28" i="12" s="1"/>
  <c r="V28" i="12" s="1"/>
  <c r="J29" i="12" l="1"/>
  <c r="L29" i="12"/>
  <c r="B29" i="13" s="1"/>
  <c r="G29" i="12"/>
  <c r="D30" i="12"/>
  <c r="W30" i="12"/>
  <c r="E30" i="12"/>
  <c r="I31" i="12"/>
  <c r="C30" i="12"/>
  <c r="B30" i="12"/>
  <c r="A30" i="12"/>
  <c r="H29" i="12" l="1"/>
  <c r="V29" i="12" s="1"/>
  <c r="J30" i="12"/>
  <c r="G30" i="12"/>
  <c r="L30" i="12"/>
  <c r="B30" i="13" s="1"/>
  <c r="C31" i="12"/>
  <c r="I32" i="12"/>
  <c r="A31" i="12"/>
  <c r="E31" i="12"/>
  <c r="W31" i="12"/>
  <c r="B31" i="12"/>
  <c r="D31" i="12"/>
  <c r="H30" i="12" l="1"/>
  <c r="V30" i="12" s="1"/>
  <c r="G31" i="12"/>
  <c r="L31" i="12"/>
  <c r="B31" i="13" s="1"/>
  <c r="A32" i="12"/>
  <c r="W32" i="12"/>
  <c r="E32" i="12"/>
  <c r="B32" i="12"/>
  <c r="C32" i="12"/>
  <c r="I33" i="12"/>
  <c r="D32" i="12"/>
  <c r="H31" i="12" l="1"/>
  <c r="V31" i="12" s="1"/>
  <c r="L32" i="12"/>
  <c r="B32" i="13" s="1"/>
  <c r="G32" i="12"/>
  <c r="H32" i="12" s="1"/>
  <c r="V32" i="12" s="1"/>
  <c r="A33" i="12"/>
  <c r="E33" i="12"/>
  <c r="W33" i="12"/>
  <c r="B33" i="12"/>
  <c r="D33" i="12"/>
  <c r="I34" i="12"/>
  <c r="C33" i="12"/>
  <c r="J33" i="12" l="1"/>
  <c r="G33" i="12"/>
  <c r="L33" i="12"/>
  <c r="B33" i="13" s="1"/>
  <c r="C34" i="12"/>
  <c r="W34" i="12"/>
  <c r="D34" i="12"/>
  <c r="A34" i="12"/>
  <c r="E34" i="12"/>
  <c r="B34" i="12"/>
  <c r="I35" i="12"/>
  <c r="J34" i="12" l="1"/>
  <c r="H33" i="12"/>
  <c r="V33" i="12" s="1"/>
  <c r="I36" i="12"/>
  <c r="D35" i="12"/>
  <c r="C35" i="12"/>
  <c r="A35" i="12"/>
  <c r="W35" i="12"/>
  <c r="B35" i="12"/>
  <c r="E35" i="12"/>
  <c r="G34" i="12"/>
  <c r="L34" i="12"/>
  <c r="B34" i="13" s="1"/>
  <c r="H34" i="12" l="1"/>
  <c r="V34" i="12" s="1"/>
  <c r="I37" i="12"/>
  <c r="W36" i="12"/>
  <c r="D36" i="12"/>
  <c r="C36" i="12"/>
  <c r="E36" i="12"/>
  <c r="B36" i="12"/>
  <c r="A36" i="12"/>
  <c r="G35" i="12"/>
  <c r="H35" i="12" s="1"/>
  <c r="V35" i="12" s="1"/>
  <c r="L35" i="12"/>
  <c r="B35" i="13" s="1"/>
  <c r="L36" i="12" l="1"/>
  <c r="B36" i="13" s="1"/>
  <c r="G36" i="12"/>
  <c r="H36" i="12" s="1"/>
  <c r="V36" i="12" s="1"/>
  <c r="A37" i="12"/>
  <c r="D37" i="12"/>
  <c r="I38" i="12"/>
  <c r="B37" i="12"/>
  <c r="W37" i="12"/>
  <c r="C37" i="12"/>
  <c r="E37" i="12"/>
  <c r="J37" i="12" l="1"/>
  <c r="E38" i="12"/>
  <c r="A38" i="12"/>
  <c r="C38" i="12"/>
  <c r="B38" i="12"/>
  <c r="W38" i="12"/>
  <c r="D38" i="12"/>
  <c r="I39" i="12"/>
  <c r="L37" i="12"/>
  <c r="B37" i="13" s="1"/>
  <c r="G37" i="12"/>
  <c r="H37" i="12" l="1"/>
  <c r="V37" i="12" s="1"/>
  <c r="J38" i="12"/>
  <c r="C39" i="12"/>
  <c r="D39" i="12"/>
  <c r="I40" i="12"/>
  <c r="B39" i="12"/>
  <c r="W39" i="12"/>
  <c r="A39" i="12"/>
  <c r="E39" i="12"/>
  <c r="L38" i="12"/>
  <c r="B38" i="13" s="1"/>
  <c r="G38" i="12"/>
  <c r="H38" i="12" l="1"/>
  <c r="V38" i="12" s="1"/>
  <c r="W40" i="12"/>
  <c r="I41" i="12"/>
  <c r="E40" i="12"/>
  <c r="D40" i="12"/>
  <c r="A40" i="12"/>
  <c r="B40" i="12"/>
  <c r="C40" i="12"/>
  <c r="G39" i="12"/>
  <c r="H39" i="12" s="1"/>
  <c r="V39" i="12" s="1"/>
  <c r="L39" i="12"/>
  <c r="B39" i="13" s="1"/>
  <c r="L40" i="12" l="1"/>
  <c r="B40" i="13" s="1"/>
  <c r="G40" i="12"/>
  <c r="H40" i="12" s="1"/>
  <c r="V40" i="12" s="1"/>
  <c r="W41" i="12"/>
  <c r="C41" i="12"/>
  <c r="D41" i="12"/>
  <c r="A41" i="12"/>
  <c r="E41" i="12"/>
  <c r="B41" i="12"/>
  <c r="I42" i="12"/>
  <c r="J41" i="12" l="1"/>
  <c r="C42" i="12"/>
  <c r="I43" i="12"/>
  <c r="E42" i="12"/>
  <c r="B42" i="12"/>
  <c r="W42" i="12"/>
  <c r="D42" i="12"/>
  <c r="A42" i="12"/>
  <c r="G41" i="12"/>
  <c r="L41" i="12"/>
  <c r="B41" i="13" s="1"/>
  <c r="H41" i="12" l="1"/>
  <c r="V41" i="12" s="1"/>
  <c r="J42" i="12"/>
  <c r="G42" i="12"/>
  <c r="L42" i="12"/>
  <c r="B42" i="13" s="1"/>
  <c r="A43" i="12"/>
  <c r="E43" i="12"/>
  <c r="W43" i="12"/>
  <c r="B43" i="12"/>
  <c r="C43" i="12"/>
  <c r="D43" i="12"/>
  <c r="I44" i="12"/>
  <c r="H42" i="12" l="1"/>
  <c r="V42" i="12" s="1"/>
  <c r="D44" i="12"/>
  <c r="I45" i="12"/>
  <c r="E44" i="12"/>
  <c r="W44" i="12"/>
  <c r="C44" i="12"/>
  <c r="B44" i="12"/>
  <c r="A44" i="12"/>
  <c r="G43" i="12"/>
  <c r="L43" i="12"/>
  <c r="B43" i="13" s="1"/>
  <c r="H43" i="12" l="1"/>
  <c r="V43" i="12" s="1"/>
  <c r="G44" i="12"/>
  <c r="H44" i="12" s="1"/>
  <c r="V44" i="12" s="1"/>
  <c r="L44" i="12"/>
  <c r="B44" i="13" s="1"/>
  <c r="D45" i="12"/>
  <c r="W45" i="12"/>
  <c r="C45" i="12"/>
  <c r="B45" i="12"/>
  <c r="I46" i="12"/>
  <c r="E45" i="12"/>
  <c r="A45" i="12"/>
  <c r="L45" i="12" l="1"/>
  <c r="B45" i="13" s="1"/>
  <c r="G45" i="12"/>
  <c r="W46" i="12"/>
  <c r="E46" i="12"/>
  <c r="C46" i="12"/>
  <c r="B46" i="12"/>
  <c r="A46" i="12"/>
  <c r="D46" i="12"/>
  <c r="I47" i="12"/>
  <c r="H45" i="12" l="1"/>
  <c r="V45" i="12" s="1"/>
  <c r="E47" i="12"/>
  <c r="B47" i="12"/>
  <c r="A47" i="12"/>
  <c r="C47" i="12"/>
  <c r="D47" i="12"/>
  <c r="W47" i="12"/>
  <c r="G46" i="12"/>
  <c r="L46" i="12"/>
  <c r="B46" i="13" s="1"/>
  <c r="B25" i="11" l="1"/>
  <c r="D25" i="11" s="1"/>
  <c r="B15" i="11"/>
  <c r="B17" i="11"/>
  <c r="B23" i="11"/>
  <c r="C23" i="11" s="1"/>
  <c r="G24" i="11" s="1"/>
  <c r="G23" i="11" s="1"/>
  <c r="B21" i="11"/>
  <c r="C21" i="11" s="1"/>
  <c r="B27" i="11"/>
  <c r="C27" i="11" s="1"/>
  <c r="B35" i="11"/>
  <c r="C35" i="11" s="1"/>
  <c r="B33" i="11"/>
  <c r="C33" i="11" s="1"/>
  <c r="B31" i="11"/>
  <c r="C31" i="11" s="1"/>
  <c r="B19" i="11"/>
  <c r="D19" i="11" s="1"/>
  <c r="B29" i="11"/>
  <c r="B37" i="11"/>
  <c r="C25" i="11"/>
  <c r="H46" i="12"/>
  <c r="V46" i="12" s="1"/>
  <c r="L47" i="12"/>
  <c r="B47" i="13" s="1"/>
  <c r="G47" i="12"/>
  <c r="U41" i="12" l="1"/>
  <c r="U42" i="12"/>
  <c r="E37" i="11" s="1"/>
  <c r="U33" i="12"/>
  <c r="E29" i="11" s="1"/>
  <c r="U34" i="12"/>
  <c r="E31" i="11" s="1"/>
  <c r="U29" i="12"/>
  <c r="E25" i="11" s="1"/>
  <c r="U30" i="12"/>
  <c r="E27" i="11" s="1"/>
  <c r="U24" i="12"/>
  <c r="E21" i="11" s="1"/>
  <c r="U25" i="12"/>
  <c r="E23" i="11" s="1"/>
  <c r="U20" i="12"/>
  <c r="U21" i="12"/>
  <c r="E19" i="11" s="1"/>
  <c r="C17" i="11"/>
  <c r="C29" i="11"/>
  <c r="C19" i="11"/>
  <c r="G20" i="11" s="1"/>
  <c r="H47" i="12"/>
  <c r="V47" i="12" s="1"/>
  <c r="U18" i="12"/>
  <c r="D15" i="11"/>
  <c r="C15" i="11"/>
  <c r="D23" i="11"/>
  <c r="D33" i="11"/>
  <c r="D27" i="11"/>
  <c r="H24" i="1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C37" i="11"/>
  <c r="D29" i="11"/>
  <c r="D35" i="11"/>
  <c r="D37" i="11"/>
  <c r="G32" i="11"/>
  <c r="H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U37" i="12" l="1"/>
  <c r="E33" i="11" s="1"/>
  <c r="U38" i="12"/>
  <c r="E35" i="11" s="1"/>
  <c r="G30" i="11"/>
  <c r="G29" i="11" s="1"/>
  <c r="E17" i="11"/>
  <c r="J18" i="11" s="1"/>
  <c r="G26" i="11"/>
  <c r="G25" i="11" s="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G22" i="11"/>
  <c r="G21" i="11" s="1"/>
  <c r="G18" i="11"/>
  <c r="G17" i="11" s="1"/>
  <c r="U17" i="12"/>
  <c r="E15" i="11" s="1"/>
  <c r="H30" i="11"/>
  <c r="AG23" i="11"/>
  <c r="AT23" i="11"/>
  <c r="U15" i="12"/>
  <c r="G16" i="11"/>
  <c r="V23" i="11"/>
  <c r="Q23" i="11"/>
  <c r="AO23" i="11"/>
  <c r="U16" i="12"/>
  <c r="E13" i="11" s="1"/>
  <c r="Y23" i="11"/>
  <c r="AQ23" i="11"/>
  <c r="AI23" i="11"/>
  <c r="P23" i="11"/>
  <c r="X23" i="11"/>
  <c r="AR23" i="11"/>
  <c r="AM23" i="11"/>
  <c r="AD23" i="11"/>
  <c r="L23" i="11"/>
  <c r="AP23" i="11"/>
  <c r="I23" i="11"/>
  <c r="AN23" i="11"/>
  <c r="S23" i="11"/>
  <c r="N23" i="11"/>
  <c r="AA23" i="11"/>
  <c r="AF23" i="11"/>
  <c r="AC23" i="11"/>
  <c r="R23" i="11"/>
  <c r="W23" i="11"/>
  <c r="AK23" i="11"/>
  <c r="T23" i="11"/>
  <c r="K23" i="11"/>
  <c r="AB23" i="11"/>
  <c r="H23" i="11"/>
  <c r="O23" i="11"/>
  <c r="AS23" i="11"/>
  <c r="Z23" i="11"/>
  <c r="J23" i="11"/>
  <c r="AJ23" i="11"/>
  <c r="M23" i="11"/>
  <c r="AE23" i="11"/>
  <c r="U23" i="11"/>
  <c r="AH23" i="11"/>
  <c r="AL23"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H20" i="11"/>
  <c r="R20" i="11" s="1"/>
  <c r="S20" i="11" s="1"/>
  <c r="T20" i="11" s="1"/>
  <c r="U20" i="11" s="1"/>
  <c r="V20" i="11" s="1"/>
  <c r="W20" i="11" s="1"/>
  <c r="AH20" i="11" s="1"/>
  <c r="AI20" i="11" s="1"/>
  <c r="AJ20" i="11" s="1"/>
  <c r="AK20" i="11" s="1"/>
  <c r="AM20" i="11" s="1"/>
  <c r="AN20" i="11" s="1"/>
  <c r="AO20" i="11" s="1"/>
  <c r="AP20" i="11" s="1"/>
  <c r="AQ20" i="11" s="1"/>
  <c r="AR20" i="11" s="1"/>
  <c r="AS20" i="11" s="1"/>
  <c r="AT20" i="11" s="1"/>
  <c r="AD21" i="11" l="1"/>
  <c r="AS21" i="11"/>
  <c r="M21" i="11"/>
  <c r="AQ21" i="11"/>
  <c r="AE21" i="11"/>
  <c r="W21" i="11"/>
  <c r="T21" i="11"/>
  <c r="AA21" i="11"/>
  <c r="S21" i="11"/>
  <c r="AM21" i="11"/>
  <c r="AG21" i="11"/>
  <c r="AL21" i="11"/>
  <c r="Z21" i="11"/>
  <c r="AP21" i="11"/>
  <c r="AF21" i="11"/>
  <c r="AB21" i="11"/>
  <c r="J21" i="11"/>
  <c r="AC21" i="11"/>
  <c r="AJ21" i="11"/>
  <c r="X21" i="11"/>
  <c r="I21" i="11"/>
  <c r="L21" i="11"/>
  <c r="AN21" i="11"/>
  <c r="AO21" i="11"/>
  <c r="AI21" i="11"/>
  <c r="H21" i="11"/>
  <c r="Y21" i="11"/>
  <c r="R21" i="11"/>
  <c r="AH21" i="11"/>
  <c r="AT21" i="11"/>
  <c r="K21" i="11"/>
  <c r="V21" i="11"/>
  <c r="O21" i="11"/>
  <c r="P21" i="11"/>
  <c r="AR21" i="11"/>
  <c r="N21" i="11"/>
  <c r="Q21" i="11"/>
  <c r="AK21" i="11"/>
  <c r="U21" i="11"/>
  <c r="H26" i="11"/>
  <c r="H18" i="11"/>
  <c r="G14" i="11"/>
  <c r="I30" i="11"/>
  <c r="E39" i="11"/>
  <c r="H16" i="11"/>
  <c r="H14" i="11" s="1"/>
  <c r="G15" i="11"/>
  <c r="L19" i="11"/>
  <c r="AL19" i="11"/>
  <c r="Y19" i="11"/>
  <c r="X19" i="11"/>
  <c r="AC19" i="11"/>
  <c r="P19" i="11"/>
  <c r="AE19" i="11"/>
  <c r="AI19" i="11"/>
  <c r="AM19" i="11"/>
  <c r="AK19" i="11"/>
  <c r="T19" i="11"/>
  <c r="AG19" i="11"/>
  <c r="AS19" i="11"/>
  <c r="AB19" i="11"/>
  <c r="AD19" i="11"/>
  <c r="AR19" i="11"/>
  <c r="AN19" i="11"/>
  <c r="Q19" i="11"/>
  <c r="N19" i="11"/>
  <c r="M19" i="11"/>
  <c r="M27" i="11"/>
  <c r="AN27" i="11"/>
  <c r="I27" i="11"/>
  <c r="T27" i="11"/>
  <c r="R27" i="11"/>
  <c r="H27" i="11"/>
  <c r="O27" i="11"/>
  <c r="U27" i="11"/>
  <c r="N27" i="11"/>
  <c r="K27" i="11"/>
  <c r="AJ27" i="11"/>
  <c r="W27" i="11"/>
  <c r="AK27" i="11"/>
  <c r="Y27" i="11"/>
  <c r="AP27" i="11"/>
  <c r="V27" i="11"/>
  <c r="AT27" i="11"/>
  <c r="Z27" i="11"/>
  <c r="P27" i="11"/>
  <c r="I18" i="11"/>
  <c r="V19" i="11"/>
  <c r="AH19" i="11"/>
  <c r="J19" i="11"/>
  <c r="Z19" i="11"/>
  <c r="AQ19" i="11"/>
  <c r="I19" i="11"/>
  <c r="O19" i="11"/>
  <c r="H19" i="11"/>
  <c r="S19" i="11"/>
  <c r="R19" i="11"/>
  <c r="AF19" i="11"/>
  <c r="K19" i="11"/>
  <c r="AP19" i="11"/>
  <c r="AJ19" i="11"/>
  <c r="W19" i="11"/>
  <c r="AT19" i="11"/>
  <c r="AA19" i="11"/>
  <c r="U19" i="11"/>
  <c r="AO19" i="11"/>
  <c r="AH27" i="11"/>
  <c r="AO27" i="11"/>
  <c r="AL27" i="11"/>
  <c r="AB27" i="11"/>
  <c r="AC27" i="11"/>
  <c r="AI27" i="11"/>
  <c r="J27" i="11"/>
  <c r="AF27" i="11"/>
  <c r="AS27" i="11"/>
  <c r="AA27" i="11"/>
  <c r="S27" i="11"/>
  <c r="AQ27" i="11"/>
  <c r="AG27" i="11"/>
  <c r="L27" i="11"/>
  <c r="AR27" i="11"/>
  <c r="AM27" i="11"/>
  <c r="Q27" i="11"/>
  <c r="AE27" i="11"/>
  <c r="AD27" i="11"/>
  <c r="X27" i="11"/>
  <c r="I26" i="11" l="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I14" i="11"/>
  <c r="G13" i="11"/>
  <c r="J30" i="11"/>
  <c r="AF25" i="11" l="1"/>
  <c r="H25" i="11"/>
  <c r="AI25" i="11"/>
  <c r="AB25" i="11"/>
  <c r="U25" i="11"/>
  <c r="Y25" i="11"/>
  <c r="AN25" i="11"/>
  <c r="AH25" i="11"/>
  <c r="W25" i="11"/>
  <c r="AR25" i="11"/>
  <c r="I25" i="11"/>
  <c r="AD25" i="11"/>
  <c r="AO25" i="11"/>
  <c r="Z25" i="11"/>
  <c r="V25" i="11"/>
  <c r="AC25" i="11"/>
  <c r="AJ25" i="11"/>
  <c r="AS25" i="11"/>
  <c r="S25" i="11"/>
  <c r="Q25" i="11"/>
  <c r="L25" i="11"/>
  <c r="AA25" i="11"/>
  <c r="J25" i="11"/>
  <c r="M25" i="11"/>
  <c r="R25" i="11"/>
  <c r="AT25" i="11"/>
  <c r="AM25" i="11"/>
  <c r="X25" i="11"/>
  <c r="O25" i="11"/>
  <c r="AG25" i="11"/>
  <c r="AK25" i="11"/>
  <c r="AL25" i="11"/>
  <c r="AQ25" i="11"/>
  <c r="AE25" i="11"/>
  <c r="P25" i="11"/>
  <c r="N25" i="11"/>
  <c r="AP25" i="11"/>
  <c r="K25" i="11"/>
  <c r="T25" i="11"/>
  <c r="J16" i="11"/>
  <c r="J14" i="11" s="1"/>
  <c r="K30" i="11"/>
  <c r="K18" i="11"/>
  <c r="L18" i="11" s="1"/>
  <c r="M18" i="11" s="1"/>
  <c r="L30" i="11" l="1"/>
  <c r="N18" i="11"/>
  <c r="K16" i="11"/>
  <c r="M30" i="11" l="1"/>
  <c r="L16" i="11"/>
  <c r="K14" i="11"/>
  <c r="O18" i="11"/>
  <c r="L14" i="11" l="1"/>
  <c r="M16" i="11"/>
  <c r="N30" i="11"/>
  <c r="P18" i="11"/>
  <c r="M14" i="11" l="1"/>
  <c r="N16" i="11"/>
  <c r="O30" i="11"/>
  <c r="Q18" i="11"/>
  <c r="N14" i="11" l="1"/>
  <c r="O16" i="11"/>
  <c r="P30" i="11"/>
  <c r="R1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S18" i="1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J15" i="11" s="1"/>
  <c r="AO15" i="11" l="1"/>
  <c r="W15" i="11"/>
  <c r="AG15" i="11"/>
  <c r="AH15" i="11"/>
  <c r="AC15" i="11"/>
  <c r="Z15" i="11"/>
  <c r="H15" i="11"/>
  <c r="M15" i="11"/>
  <c r="Y15" i="11"/>
  <c r="AT14" i="11"/>
  <c r="AD15" i="11"/>
  <c r="AL15" i="11"/>
  <c r="AF15" i="11"/>
  <c r="AJ15" i="11"/>
  <c r="Q15" i="11"/>
  <c r="X15" i="11"/>
  <c r="AS15" i="11"/>
  <c r="AE15" i="11"/>
  <c r="AT15" i="11"/>
  <c r="L15" i="11"/>
  <c r="AN15" i="11"/>
  <c r="AQ15" i="11"/>
  <c r="R15" i="11"/>
  <c r="AP15" i="11"/>
  <c r="U15" i="11"/>
  <c r="AR15" i="11"/>
  <c r="I15" i="11"/>
  <c r="AA15" i="11"/>
  <c r="S15" i="11"/>
  <c r="N15" i="11"/>
  <c r="P15" i="11"/>
  <c r="AK15" i="11"/>
  <c r="T15" i="11"/>
  <c r="K15" i="11"/>
  <c r="AM15" i="11"/>
  <c r="AB15" i="11"/>
  <c r="AI15" i="11"/>
  <c r="O15" i="11"/>
  <c r="V15" i="11"/>
  <c r="AI13" i="11" l="1"/>
  <c r="N13" i="11"/>
  <c r="I13" i="11"/>
  <c r="U13" i="11"/>
  <c r="Q13" i="11"/>
  <c r="R13" i="11"/>
  <c r="J13" i="11"/>
  <c r="H13" i="11"/>
  <c r="W13" i="11"/>
  <c r="X13" i="11"/>
  <c r="AR13" i="11"/>
  <c r="P13" i="11"/>
  <c r="AD13" i="11"/>
  <c r="L13" i="11"/>
  <c r="Z13" i="11"/>
  <c r="AK13" i="11"/>
  <c r="AE13" i="11"/>
  <c r="M13" i="11"/>
  <c r="AC13" i="11"/>
  <c r="Y13" i="11"/>
  <c r="AL13" i="11"/>
  <c r="AM13" i="11"/>
  <c r="AT13" i="11"/>
  <c r="T13" i="11"/>
  <c r="AG13" i="11"/>
  <c r="AA13" i="11"/>
  <c r="AN13" i="11"/>
  <c r="V13" i="11"/>
  <c r="AB13" i="11"/>
  <c r="AJ13" i="11"/>
  <c r="AS13" i="11"/>
  <c r="O13" i="11"/>
  <c r="AO13" i="11"/>
  <c r="AQ13" i="11"/>
  <c r="K13" i="11"/>
  <c r="AH13" i="11"/>
  <c r="S13" i="11"/>
  <c r="AF13" i="11"/>
  <c r="AP13" i="11"/>
  <c r="G38" i="11"/>
  <c r="H38" i="11" l="1"/>
  <c r="I38" i="11" s="1"/>
  <c r="J38" i="11" s="1"/>
  <c r="K38" i="11" s="1"/>
  <c r="L38" i="11" s="1"/>
  <c r="M38" i="11" s="1"/>
  <c r="N38" i="11" s="1"/>
  <c r="O38" i="11" s="1"/>
  <c r="P38" i="11" s="1"/>
  <c r="Q38" i="11" s="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G37" i="11"/>
  <c r="G34" i="11" s="1"/>
  <c r="AQ37" i="11" l="1"/>
  <c r="K37" i="11"/>
  <c r="W37" i="11"/>
  <c r="J37" i="11"/>
  <c r="M37" i="11"/>
  <c r="AC37" i="11"/>
  <c r="AR37" i="11"/>
  <c r="N37" i="11"/>
  <c r="L37" i="11"/>
  <c r="AM37" i="11"/>
  <c r="G33" i="11"/>
  <c r="G41" i="11" s="1" a="1"/>
  <c r="G41" i="11" s="1"/>
  <c r="Z37" i="11"/>
  <c r="AD37" i="11"/>
  <c r="AL37" i="11"/>
  <c r="AJ37" i="11"/>
  <c r="O37" i="11"/>
  <c r="AT37" i="11"/>
  <c r="R37" i="11"/>
  <c r="U37" i="11"/>
  <c r="AN37" i="11"/>
  <c r="H37" i="11"/>
  <c r="H34" i="11" s="1"/>
  <c r="AO37" i="11"/>
  <c r="Q37" i="11"/>
  <c r="AK37" i="11"/>
  <c r="X37" i="11"/>
  <c r="AS37" i="11"/>
  <c r="AH37" i="11"/>
  <c r="Y37" i="11"/>
  <c r="T37" i="11"/>
  <c r="I37" i="11"/>
  <c r="AI37" i="11"/>
  <c r="V37" i="11"/>
  <c r="AB37" i="11"/>
  <c r="AG37" i="11"/>
  <c r="P37" i="11"/>
  <c r="S37" i="11"/>
  <c r="AF37" i="11"/>
  <c r="AE37" i="11"/>
  <c r="AA37" i="11"/>
  <c r="AP37" i="11"/>
  <c r="G42" i="11" l="1"/>
  <c r="G39" i="11"/>
  <c r="G40" i="11" s="1"/>
  <c r="I34" i="11"/>
  <c r="J34" i="11" l="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AD33" i="11" l="1"/>
  <c r="AD41" i="11" s="1" a="1"/>
  <c r="AD41" i="11" s="1"/>
  <c r="AA33" i="11"/>
  <c r="AA41" i="11" s="1" a="1"/>
  <c r="AA41" i="11" s="1"/>
  <c r="AE33" i="11"/>
  <c r="AE41" i="11" s="1" a="1"/>
  <c r="AE41" i="11" s="1"/>
  <c r="I33" i="11"/>
  <c r="I41" i="11" s="1" a="1"/>
  <c r="I41" i="11" s="1"/>
  <c r="S33" i="11"/>
  <c r="S41" i="11" s="1" a="1"/>
  <c r="S41" i="11" s="1"/>
  <c r="AG33" i="11"/>
  <c r="AG41" i="11" s="1" a="1"/>
  <c r="AG41" i="11" s="1"/>
  <c r="AP33" i="11"/>
  <c r="AP41" i="11" s="1" a="1"/>
  <c r="AP41" i="11" s="1"/>
  <c r="R33" i="11"/>
  <c r="R41" i="11" s="1" a="1"/>
  <c r="R41" i="11" s="1"/>
  <c r="AL33" i="11"/>
  <c r="AL41" i="11" s="1" a="1"/>
  <c r="AL41" i="11" s="1"/>
  <c r="AS33" i="11"/>
  <c r="AS41" i="11" s="1" a="1"/>
  <c r="AS41" i="11" s="1"/>
  <c r="AF33" i="11"/>
  <c r="AF41" i="11" s="1" a="1"/>
  <c r="AF41" i="11" s="1"/>
  <c r="AN33" i="11"/>
  <c r="AN41" i="11" s="1" a="1"/>
  <c r="AN41" i="11" s="1"/>
  <c r="AB33" i="11"/>
  <c r="AB41" i="11" s="1" a="1"/>
  <c r="AB41" i="11" s="1"/>
  <c r="AQ33" i="11"/>
  <c r="AQ41" i="11" s="1" a="1"/>
  <c r="AQ41" i="11" s="1"/>
  <c r="W33" i="11"/>
  <c r="W41" i="11" s="1" a="1"/>
  <c r="W41" i="11" s="1"/>
  <c r="M33" i="11"/>
  <c r="M41" i="11" s="1" a="1"/>
  <c r="M41" i="11" s="1"/>
  <c r="U33" i="11"/>
  <c r="U41" i="11" s="1" a="1"/>
  <c r="U41" i="11" s="1"/>
  <c r="V33" i="11"/>
  <c r="V41" i="11" s="1" a="1"/>
  <c r="V41" i="11" s="1"/>
  <c r="AO33" i="11"/>
  <c r="AO41" i="11" s="1" a="1"/>
  <c r="AO41" i="11" s="1"/>
  <c r="K33" i="11"/>
  <c r="K41" i="11" s="1" a="1"/>
  <c r="K41" i="11" s="1"/>
  <c r="O33" i="11"/>
  <c r="O41" i="11" s="1" a="1"/>
  <c r="O41" i="11" s="1"/>
  <c r="N33" i="11"/>
  <c r="N41" i="11" s="1" a="1"/>
  <c r="N41" i="11" s="1"/>
  <c r="Y33" i="11"/>
  <c r="Y41" i="11" s="1" a="1"/>
  <c r="Y41" i="11" s="1"/>
  <c r="AR33" i="11"/>
  <c r="AR41" i="11" s="1" a="1"/>
  <c r="AR41" i="11" s="1"/>
  <c r="Q33" i="11"/>
  <c r="Q41" i="11" s="1" a="1"/>
  <c r="Q41" i="11" s="1"/>
  <c r="J33" i="11"/>
  <c r="J41" i="11" s="1" a="1"/>
  <c r="J41" i="11" s="1"/>
  <c r="AK33" i="11"/>
  <c r="AK41" i="11" s="1" a="1"/>
  <c r="AK41" i="11" s="1"/>
  <c r="AH33" i="11"/>
  <c r="AH41" i="11" s="1" a="1"/>
  <c r="AH41" i="11" s="1"/>
  <c r="AC33" i="11"/>
  <c r="AC41" i="11" s="1" a="1"/>
  <c r="AC41" i="11" s="1"/>
  <c r="H33" i="11"/>
  <c r="H41" i="11" s="1" a="1"/>
  <c r="H41" i="11" s="1"/>
  <c r="AJ33" i="11"/>
  <c r="AJ41" i="11" s="1" a="1"/>
  <c r="AJ41" i="11" s="1"/>
  <c r="L33" i="11"/>
  <c r="L41" i="11" s="1" a="1"/>
  <c r="L41" i="11" s="1"/>
  <c r="T33" i="11"/>
  <c r="T41" i="11" s="1" a="1"/>
  <c r="T41" i="11" s="1"/>
  <c r="X33" i="11"/>
  <c r="X41" i="11" s="1" a="1"/>
  <c r="X41" i="11" s="1"/>
  <c r="AM33" i="11"/>
  <c r="AM41" i="11" s="1" a="1"/>
  <c r="AM41" i="11" s="1"/>
  <c r="P33" i="11"/>
  <c r="P41" i="11" s="1" a="1"/>
  <c r="P41" i="11" s="1"/>
  <c r="AT33" i="11"/>
  <c r="AT41" i="11" s="1" a="1"/>
  <c r="AT41" i="11" s="1"/>
  <c r="Z33" i="11"/>
  <c r="Z41" i="11" s="1" a="1"/>
  <c r="Z41" i="11" s="1"/>
  <c r="AI33" i="11"/>
  <c r="AI41" i="11" s="1" a="1"/>
  <c r="AI41" i="11" s="1"/>
  <c r="AI39" i="11" l="1"/>
  <c r="AI40" i="11" s="1"/>
  <c r="AI42" i="11"/>
  <c r="AT42" i="11"/>
  <c r="AT39" i="11"/>
  <c r="AT40" i="11" s="1"/>
  <c r="AM42" i="11"/>
  <c r="AM39" i="11"/>
  <c r="AM40" i="11" s="1"/>
  <c r="T39" i="11"/>
  <c r="T40" i="11" s="1"/>
  <c r="T42" i="11"/>
  <c r="AJ42" i="11"/>
  <c r="AJ39" i="11"/>
  <c r="AJ40" i="11" s="1"/>
  <c r="AC42" i="11"/>
  <c r="AC39" i="11"/>
  <c r="AC40" i="11" s="1"/>
  <c r="AK42" i="11"/>
  <c r="AK39" i="11"/>
  <c r="AK40" i="11" s="1"/>
  <c r="Q42" i="11"/>
  <c r="Q39" i="11"/>
  <c r="Q40" i="11" s="1"/>
  <c r="Y42" i="11"/>
  <c r="Y39" i="11"/>
  <c r="Y40" i="11" s="1"/>
  <c r="O42" i="11"/>
  <c r="O39" i="11"/>
  <c r="O40" i="11" s="1"/>
  <c r="AO42" i="11"/>
  <c r="AO39" i="11"/>
  <c r="AO40" i="11" s="1"/>
  <c r="U39" i="11"/>
  <c r="U40" i="11" s="1"/>
  <c r="U42" i="11"/>
  <c r="W39" i="11"/>
  <c r="W40" i="11" s="1"/>
  <c r="W42" i="11"/>
  <c r="AB39" i="11"/>
  <c r="AB40" i="11" s="1"/>
  <c r="AB42" i="11"/>
  <c r="AF42" i="11"/>
  <c r="AF39" i="11"/>
  <c r="AF40" i="11" s="1"/>
  <c r="AL42" i="11"/>
  <c r="AL39" i="11"/>
  <c r="AL40" i="11" s="1"/>
  <c r="AP42" i="11"/>
  <c r="AP39" i="11"/>
  <c r="AP40" i="11" s="1"/>
  <c r="S42" i="11"/>
  <c r="S39" i="11"/>
  <c r="S40" i="11" s="1"/>
  <c r="AE42" i="11"/>
  <c r="AE39" i="11"/>
  <c r="AE40" i="11" s="1"/>
  <c r="AD42" i="11"/>
  <c r="AD39" i="11"/>
  <c r="AD40" i="11" s="1"/>
  <c r="Z39" i="11"/>
  <c r="Z40" i="11" s="1"/>
  <c r="Z42" i="11"/>
  <c r="P42" i="11"/>
  <c r="P39" i="11"/>
  <c r="P40" i="11" s="1"/>
  <c r="X42" i="11"/>
  <c r="X39" i="11"/>
  <c r="X40" i="11" s="1"/>
  <c r="L39" i="11"/>
  <c r="L40" i="11" s="1"/>
  <c r="L42" i="11"/>
  <c r="H39" i="11"/>
  <c r="H40" i="11" s="1"/>
  <c r="H42" i="11"/>
  <c r="AH42" i="11"/>
  <c r="AH39" i="11"/>
  <c r="AH40" i="11" s="1"/>
  <c r="J42" i="11"/>
  <c r="J39" i="11"/>
  <c r="J40" i="11" s="1"/>
  <c r="AR42" i="11"/>
  <c r="AR39" i="11"/>
  <c r="AR40" i="11" s="1"/>
  <c r="N42" i="11"/>
  <c r="N39" i="11"/>
  <c r="N40" i="11" s="1"/>
  <c r="K39" i="11"/>
  <c r="K40" i="11" s="1"/>
  <c r="K42" i="11"/>
  <c r="V39" i="11"/>
  <c r="V40" i="11" s="1"/>
  <c r="V42" i="11"/>
  <c r="M42" i="11"/>
  <c r="M39" i="11"/>
  <c r="M40" i="11" s="1"/>
  <c r="AQ39" i="11"/>
  <c r="AQ40" i="11" s="1"/>
  <c r="AQ42" i="11"/>
  <c r="AN42" i="11"/>
  <c r="AN39" i="11"/>
  <c r="AN40" i="11" s="1"/>
  <c r="AS42" i="11"/>
  <c r="AS39" i="11"/>
  <c r="AS40" i="11" s="1"/>
  <c r="R42" i="11"/>
  <c r="R39" i="11"/>
  <c r="R40" i="11" s="1"/>
  <c r="AG42" i="11"/>
  <c r="AG39" i="11"/>
  <c r="AG40" i="11" s="1"/>
  <c r="I42" i="11"/>
  <c r="I39" i="11"/>
  <c r="I40" i="11" s="1"/>
  <c r="AA39" i="11"/>
  <c r="AA40" i="11" s="1"/>
  <c r="AA42" i="11"/>
</calcChain>
</file>

<file path=xl/sharedStrings.xml><?xml version="1.0" encoding="utf-8"?>
<sst xmlns="http://schemas.openxmlformats.org/spreadsheetml/2006/main" count="680" uniqueCount="373">
  <si>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</si>
  <si>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</si>
  <si>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</si>
  <si>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</si>
  <si>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</si>
  <si>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</si>
  <si>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</si>
  <si>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</si>
  <si>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</si>
  <si>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</si>
  <si>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</si>
  <si>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</si>
  <si>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</si>
  <si>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</si>
  <si>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</si>
  <si>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</si>
  <si>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</si>
  <si>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</si>
  <si>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</si>
  <si>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</si>
  <si>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</si>
  <si>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</si>
  <si>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</si>
  <si>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</si>
  <si>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</si>
  <si>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</si>
  <si>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</si>
  <si>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</si>
  <si>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</si>
  <si>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</si>
  <si>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</si>
  <si>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</si>
  <si>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</si>
  <si>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</si>
  <si>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</si>
  <si>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</si>
  <si>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</si>
  <si>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</si>
  <si>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</si>
  <si>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</si>
  <si>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</si>
  <si>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</si>
  <si>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</si>
  <si>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</si>
  <si>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</si>
  <si>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</si>
  <si>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</si>
  <si>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</si>
  <si>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</si>
  <si>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</si>
  <si>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</si>
  <si>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</si>
  <si>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</si>
  <si>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</si>
  <si>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</si>
  <si>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</si>
  <si>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</si>
  <si>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</si>
  <si>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</si>
  <si>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</si>
  <si>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</si>
  <si>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</si>
  <si>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</si>
  <si>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</si>
  <si>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</si>
  <si>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</si>
  <si>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</si>
  <si>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</si>
  <si>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</si>
  <si>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</si>
  <si>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</si>
  <si>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</si>
  <si>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</si>
  <si>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</si>
  <si>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</si>
  <si>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</si>
  <si>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</si>
  <si>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</si>
  <si>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</si>
  <si>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</si>
  <si>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</si>
  <si>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</si>
  <si>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</si>
  <si>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</si>
  <si>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</si>
  <si>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</si>
  <si>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</si>
  <si>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</si>
  <si>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</si>
  <si>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</si>
  <si>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</si>
  <si>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</si>
  <si>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</si>
  <si>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</si>
  <si>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</si>
  <si>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</si>
  <si>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</si>
  <si>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</si>
  <si>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</si>
  <si>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</si>
  <si>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</si>
  <si>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</si>
  <si>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</si>
  <si>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</si>
  <si>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</si>
  <si>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</si>
  <si>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</si>
  <si>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</si>
  <si>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</si>
  <si>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</si>
  <si>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</si>
  <si>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</si>
  <si>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</si>
  <si>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</si>
  <si>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</si>
  <si>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</si>
  <si>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</si>
  <si>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</si>
  <si>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</si>
  <si>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</si>
  <si>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</si>
  <si>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</si>
  <si>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</si>
  <si>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</si>
  <si>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</si>
  <si>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</si>
  <si>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</si>
  <si>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</si>
  <si>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</si>
  <si>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</si>
  <si>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</si>
  <si>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</si>
  <si>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</si>
  <si>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</si>
  <si>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</si>
  <si>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</si>
  <si>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</si>
  <si>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</si>
  <si>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</si>
  <si>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</si>
  <si>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</si>
  <si>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</si>
  <si>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</si>
  <si>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</si>
  <si>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</si>
  <si>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</si>
  <si>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</si>
  <si>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</si>
  <si>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</si>
  <si>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</si>
  <si>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</si>
  <si>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</si>
  <si>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</si>
  <si>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</si>
  <si>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</si>
  <si>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</si>
  <si>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</si>
  <si>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</si>
  <si>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</si>
  <si>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</si>
  <si>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</si>
  <si>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</si>
  <si>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</si>
  <si>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</si>
  <si>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</si>
  <si>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</si>
  <si>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</si>
  <si>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</si>
  <si>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</si>
  <si>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</si>
  <si>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</si>
  <si>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</si>
  <si>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</si>
  <si>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</si>
  <si>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</si>
  <si>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</si>
  <si>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</si>
  <si>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</si>
  <si>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</si>
  <si>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</si>
  <si>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</si>
  <si>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</si>
  <si>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</si>
  <si>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</si>
  <si>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</si>
  <si>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</si>
  <si>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</si>
  <si>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</si>
  <si>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</si>
  <si>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</si>
  <si>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</si>
  <si>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</si>
  <si>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</si>
  <si>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</si>
  <si>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</si>
  <si>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</si>
  <si>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</si>
  <si>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</si>
  <si>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</si>
  <si>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</si>
  <si>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</si>
  <si>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</si>
  <si>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</si>
  <si>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</si>
  <si>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</si>
  <si>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</si>
  <si>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</si>
  <si>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</si>
  <si>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</si>
  <si>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</si>
  <si>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</si>
  <si>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</si>
  <si>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</si>
  <si>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</si>
  <si>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</si>
  <si>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</si>
  <si>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</si>
  <si>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</si>
  <si>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</si>
  <si>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</si>
  <si>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</si>
  <si>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</si>
  <si>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</si>
  <si>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</si>
  <si>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</si>
  <si>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</si>
  <si>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</si>
  <si>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</si>
  <si>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</si>
  <si>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</si>
  <si>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</si>
  <si>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</si>
  <si>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</si>
  <si>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</si>
  <si>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</si>
  <si>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</si>
  <si>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</si>
  <si>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</si>
  <si>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</si>
  <si>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</si>
  <si>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</si>
  <si>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</si>
  <si>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</si>
  <si>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</si>
  <si>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</si>
  <si>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</si>
  <si>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</si>
  <si>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</si>
  <si>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</si>
  <si>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</si>
  <si>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</si>
  <si>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</si>
  <si>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</si>
  <si>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</si>
  <si>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</si>
  <si>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</si>
  <si>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</si>
  <si>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</si>
  <si>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</si>
  <si>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</si>
  <si>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</si>
  <si>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</si>
  <si>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</si>
  <si>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</si>
  <si>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</si>
  <si>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</si>
  <si>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</si>
  <si>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</si>
  <si>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</si>
  <si>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</si>
  <si>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</si>
  <si>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</si>
  <si>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</si>
  <si>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</si>
  <si>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</si>
  <si>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</si>
  <si>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</si>
  <si>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</si>
  <si>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</si>
  <si>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</si>
  <si>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</si>
  <si>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</si>
  <si>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</si>
  <si>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</si>
  <si>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</si>
  <si>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</si>
  <si>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</si>
  <si>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</si>
  <si>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</si>
  <si>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</si>
  <si>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</si>
  <si>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</si>
  <si>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</si>
  <si>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</si>
  <si>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</si>
  <si>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</si>
  <si>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</si>
  <si>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</si>
  <si>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</si>
  <si>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</si>
  <si>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</si>
  <si>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</si>
  <si>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</si>
  <si>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</si>
  <si>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</si>
  <si>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</si>
  <si>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</si>
  <si>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</si>
  <si>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</si>
  <si>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</si>
  <si>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</si>
  <si>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</si>
  <si>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</si>
  <si>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</si>
  <si>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</si>
  <si>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</si>
  <si>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</si>
  <si>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</si>
  <si>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</si>
  <si>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</si>
  <si>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</si>
  <si>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</si>
  <si>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</si>
  <si>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</si>
  <si>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</si>
  <si>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</si>
  <si>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</si>
  <si>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</si>
  <si>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</si>
  <si>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</si>
  <si>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</si>
  <si>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</si>
  <si>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</si>
  <si>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</si>
  <si>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</si>
  <si>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</si>
  <si>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</si>
  <si>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reforma restaurante</t>
  </si>
  <si>
    <t>piso do restaurante</t>
  </si>
  <si>
    <t xml:space="preserve">argamassa de regularização traço 1.5 </t>
  </si>
  <si>
    <t>83753</t>
  </si>
  <si>
    <t>m²</t>
  </si>
  <si>
    <t>87248</t>
  </si>
  <si>
    <t>piso ceramico</t>
  </si>
  <si>
    <t>cobertura</t>
  </si>
  <si>
    <t>84040</t>
  </si>
  <si>
    <t>estrutura metalica em tesouras para vãos até 15 m</t>
  </si>
  <si>
    <t>cobertura com telha aço zincado trapezoidal e=o,5 mm incluindo acessorios</t>
  </si>
  <si>
    <t>esquadrias</t>
  </si>
  <si>
    <t>74139/001</t>
  </si>
  <si>
    <t>portas internas de madeira com ferragem</t>
  </si>
  <si>
    <t>und</t>
  </si>
  <si>
    <t>6103</t>
  </si>
  <si>
    <t>janelas basculantes</t>
  </si>
  <si>
    <t>010499</t>
  </si>
  <si>
    <t>vidros fantasia tipo canelado 4 mm</t>
  </si>
  <si>
    <t>revestimento</t>
  </si>
  <si>
    <t>reboco</t>
  </si>
  <si>
    <t>74001/001</t>
  </si>
  <si>
    <t>74199/001</t>
  </si>
  <si>
    <t>chapisco traço 1.3</t>
  </si>
  <si>
    <t>equipamentos sanitarios</t>
  </si>
  <si>
    <t>bacia sanitaria sinfonada com caixa acoplada padrão medio</t>
  </si>
  <si>
    <t>86888</t>
  </si>
  <si>
    <t>86902</t>
  </si>
  <si>
    <t>lavatório com coluna</t>
  </si>
  <si>
    <t>pintura</t>
  </si>
  <si>
    <t>88489</t>
  </si>
  <si>
    <t>6067</t>
  </si>
  <si>
    <t>tinta esmalte sintetico ( brilhante)</t>
  </si>
  <si>
    <t>CONTINUA NA PROXIMA PAGINA</t>
  </si>
  <si>
    <t xml:space="preserve">pintura tinta acrilica </t>
  </si>
  <si>
    <t>72110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</si>
</sst>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1" fillId="26" borderId="24"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0" fontId="0" fillId="26" borderId="24" xfId="0" applyFill="1" applyBorder="1" applyAlignment="1" applyProtection="1">
      <alignment horizontal="left" vertical="top" wrapText="1"/>
    </xf>
    <xf numFmtId="0" fontId="0" fillId="26" borderId="18" xfId="0" applyFill="1" applyBorder="1" applyAlignment="1" applyProtection="1">
      <alignment horizontal="left" vertical="top" wrapText="1"/>
    </xf>
    <xf numFmtId="0" fontId="0" fillId="26" borderId="3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1" fillId="26" borderId="24" xfId="0" applyFont="1" applyFill="1" applyBorder="1" applyAlignment="1" applyProtection="1">
      <alignment horizontal="left" vertical="top" wrapText="1"/>
      <protection locked="0"/>
    </xf>
    <xf numFmtId="0" fontId="1" fillId="26" borderId="18"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0" fillId="26" borderId="0" xfId="0" applyFill="1" applyBorder="1" applyAlignment="1" applyProtection="1">
      <alignment horizontal="left"/>
      <protection locked="0"/>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0" fontId="0" fillId="0" borderId="0" xfId="0" applyAlignment="1" applyProtection="1">
      <alignment horizontal="left" wrapText="1" indent="3"/>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1" fillId="26" borderId="0" xfId="0" applyFont="1" applyFill="1" applyBorder="1" applyAlignment="1" applyProtection="1">
      <alignment horizontal="left"/>
      <protection locked="0"/>
    </xf>
    <xf numFmtId="0" fontId="0" fillId="26" borderId="0" xfId="0" applyFill="1" applyBorder="1" applyAlignment="1" applyProtection="1">
      <protection locked="0"/>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10" xfId="71" applyFont="1" applyBorder="1" applyAlignment="1" applyProtection="1">
      <alignment horizontal="left" vertical="center" wrapText="1"/>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4" fontId="26" fillId="0" borderId="10" xfId="71" applyNumberFormat="1" applyFont="1" applyFill="1" applyBorder="1" applyAlignment="1" applyProtection="1">
      <alignment horizontal="center"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0" fontId="32" fillId="0" borderId="31" xfId="0" applyFont="1" applyFill="1" applyBorder="1" applyAlignment="1" applyProtection="1">
      <alignment horizontal="left" vertical="center" wrapText="1"/>
      <protection hidden="1"/>
    </xf>
    <xf numFmtId="4" fontId="32" fillId="0" borderId="32" xfId="0" applyNumberFormat="1" applyFont="1" applyFill="1" applyBorder="1" applyAlignment="1" applyProtection="1">
      <alignment horizontal="center" vertical="center"/>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0.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8.emf"/><Relationship Id="rId1" Type="http://schemas.openxmlformats.org/officeDocument/2006/relationships/image" Target="../media/image1.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06" name="Picture 482"/>
            <xdr:cNvPicPr>
              <a:picLocks noChangeArrowheads="1"/>
              <a:extLst>
                <a:ext uri="{84589F7E-364E-4C9E-8A38-B11213B215E9}">
                  <a14:cameraTool cellRange="DADOS!$A$240:$X$250" spid="_x0000_s170224"/>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07" name="Picture 483"/>
            <xdr:cNvPicPr>
              <a:picLocks noChangeArrowheads="1"/>
              <a:extLst>
                <a:ext uri="{84589F7E-364E-4C9E-8A38-B11213B215E9}">
                  <a14:cameraTool cellRange="DADOS!A51:X59" spid="_x0000_s170225"/>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49" name="Picture 71"/>
            <xdr:cNvPicPr>
              <a:picLocks noChangeArrowheads="1"/>
              <a:extLst>
                <a:ext uri="{84589F7E-364E-4C9E-8A38-B11213B215E9}">
                  <a14:cameraTool cellRange="DADOS!$A$240:$X$250" spid="_x0000_s17132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50" name="Picture 74"/>
            <xdr:cNvPicPr>
              <a:picLocks noChangeArrowheads="1"/>
              <a:extLst>
                <a:ext uri="{84589F7E-364E-4C9E-8A38-B11213B215E9}">
                  <a14:cameraTool cellRange="DADOS!$A$240:$X$250" spid="_x0000_s171330"/>
                </a:ext>
              </a:extLst>
            </xdr:cNvPicPr>
          </xdr:nvPicPr>
          <xdr:blipFill>
            <a:blip xmlns:r="http://schemas.openxmlformats.org/officeDocument/2006/relationships" r:embed="rId1"/>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51" name="Picture 105"/>
            <xdr:cNvPicPr>
              <a:picLocks noChangeArrowheads="1"/>
              <a:extLst>
                <a:ext uri="{84589F7E-364E-4C9E-8A38-B11213B215E9}">
                  <a14:cameraTool cellRange="DADOS!$A$240:$X$250" spid="_x0000_s171331"/>
                </a:ext>
              </a:extLst>
            </xdr:cNvPicPr>
          </xdr:nvPicPr>
          <xdr:blipFill>
            <a:blip xmlns:r="http://schemas.openxmlformats.org/officeDocument/2006/relationships" r:embed="rId1"/>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52" name="Picture 110"/>
            <xdr:cNvPicPr>
              <a:picLocks noChangeArrowheads="1"/>
              <a:extLst>
                <a:ext uri="{84589F7E-364E-4C9E-8A38-B11213B215E9}">
                  <a14:cameraTool cellRange="DADOS!$A$240:$X$250" spid="_x0000_s171332"/>
                </a:ext>
              </a:extLst>
            </xdr:cNvPicPr>
          </xdr:nvPicPr>
          <xdr:blipFill>
            <a:blip xmlns:r="http://schemas.openxmlformats.org/officeDocument/2006/relationships" r:embed="rId1"/>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53" name="Picture 120"/>
            <xdr:cNvPicPr>
              <a:picLocks noChangeArrowheads="1"/>
              <a:extLst>
                <a:ext uri="{84589F7E-364E-4C9E-8A38-B11213B215E9}">
                  <a14:cameraTool cellRange="DADOS!$A$240:$X$250" spid="_x0000_s171333"/>
                </a:ext>
              </a:extLst>
            </xdr:cNvPicPr>
          </xdr:nvPicPr>
          <xdr:blipFill>
            <a:blip xmlns:r="http://schemas.openxmlformats.org/officeDocument/2006/relationships" r:embed="rId1"/>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54" name="Picture 483"/>
            <xdr:cNvPicPr>
              <a:picLocks noChangeArrowheads="1"/>
              <a:extLst>
                <a:ext uri="{84589F7E-364E-4C9E-8A38-B11213B215E9}">
                  <a14:cameraTool cellRange="DADOS!A51:W59" spid="_x0000_s171334"/>
                </a:ext>
              </a:extLst>
            </xdr:cNvPicPr>
          </xdr:nvPicPr>
          <xdr:blipFill>
            <a:blip xmlns:r="http://schemas.openxmlformats.org/officeDocument/2006/relationships" r:embed="rId2"/>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55" name="Picture 5337"/>
            <xdr:cNvPicPr>
              <a:picLocks noChangeArrowheads="1"/>
              <a:extLst>
                <a:ext uri="{84589F7E-364E-4C9E-8A38-B11213B215E9}">
                  <a14:cameraTool cellRange="DADOS!A51:W59" spid="_x0000_s171335"/>
                </a:ext>
              </a:extLst>
            </xdr:cNvPicPr>
          </xdr:nvPicPr>
          <xdr:blipFill>
            <a:blip xmlns:r="http://schemas.openxmlformats.org/officeDocument/2006/relationships" r:embed="rId2"/>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56" name="Picture 5338"/>
            <xdr:cNvPicPr>
              <a:picLocks noChangeArrowheads="1"/>
              <a:extLst>
                <a:ext uri="{84589F7E-364E-4C9E-8A38-B11213B215E9}">
                  <a14:cameraTool cellRange="DADOS!A51:W59" spid="_x0000_s171336"/>
                </a:ext>
              </a:extLst>
            </xdr:cNvPicPr>
          </xdr:nvPicPr>
          <xdr:blipFill>
            <a:blip xmlns:r="http://schemas.openxmlformats.org/officeDocument/2006/relationships" r:embed="rId2"/>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57" name="Picture 5339"/>
            <xdr:cNvPicPr>
              <a:picLocks noChangeArrowheads="1"/>
              <a:extLst>
                <a:ext uri="{84589F7E-364E-4C9E-8A38-B11213B215E9}">
                  <a14:cameraTool cellRange="DADOS!A51:W59" spid="_x0000_s171337"/>
                </a:ext>
              </a:extLst>
            </xdr:cNvPicPr>
          </xdr:nvPicPr>
          <xdr:blipFill>
            <a:blip xmlns:r="http://schemas.openxmlformats.org/officeDocument/2006/relationships" r:embed="rId2"/>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58" name="Picture 5340"/>
            <xdr:cNvPicPr>
              <a:picLocks noChangeArrowheads="1"/>
              <a:extLst>
                <a:ext uri="{84589F7E-364E-4C9E-8A38-B11213B215E9}">
                  <a14:cameraTool cellRange="DADOS!A51:W59" spid="_x0000_s171338"/>
                </a:ext>
              </a:extLst>
            </xdr:cNvPicPr>
          </xdr:nvPicPr>
          <xdr:blipFill>
            <a:blip xmlns:r="http://schemas.openxmlformats.org/officeDocument/2006/relationships" r:embed="rId2"/>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59" name="Picture 482"/>
            <xdr:cNvPicPr>
              <a:picLocks noChangeArrowheads="1"/>
              <a:extLst>
                <a:ext uri="{84589F7E-364E-4C9E-8A38-B11213B215E9}">
                  <a14:cameraTool cellRange="DADOS!$A$240:$X$250" spid="_x0000_s16863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560" name="Picture 119378"/>
            <xdr:cNvPicPr>
              <a:picLocks noChangeArrowheads="1"/>
              <a:extLst>
                <a:ext uri="{84589F7E-364E-4C9E-8A38-B11213B215E9}">
                  <a14:cameraTool cellRange="DADOS!$A$240:$X$250" spid="_x0000_s168640"/>
                </a:ext>
              </a:extLst>
            </xdr:cNvPicPr>
          </xdr:nvPicPr>
          <xdr:blipFill>
            <a:blip xmlns:r="http://schemas.openxmlformats.org/officeDocument/2006/relationships" r:embed="rId2"/>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561" name="Picture 119379"/>
            <xdr:cNvPicPr>
              <a:picLocks noChangeArrowheads="1"/>
              <a:extLst>
                <a:ext uri="{84589F7E-364E-4C9E-8A38-B11213B215E9}">
                  <a14:cameraTool cellRange="DADOS!$A$240:$X$250" spid="_x0000_s16864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562" name="Picture 119380"/>
            <xdr:cNvPicPr>
              <a:picLocks noChangeArrowheads="1"/>
              <a:extLst>
                <a:ext uri="{84589F7E-364E-4C9E-8A38-B11213B215E9}">
                  <a14:cameraTool cellRange="DADOS!$A$240:$X$250" spid="_x0000_s16864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563" name="Picture 119381"/>
            <xdr:cNvPicPr>
              <a:picLocks noChangeArrowheads="1"/>
              <a:extLst>
                <a:ext uri="{84589F7E-364E-4C9E-8A38-B11213B215E9}">
                  <a14:cameraTool cellRange="DADOS!$A$240:$X$250" spid="_x0000_s168643"/>
                </a:ext>
              </a:extLst>
            </xdr:cNvPicPr>
          </xdr:nvPicPr>
          <xdr:blipFill>
            <a:blip xmlns:r="http://schemas.openxmlformats.org/officeDocument/2006/relationships" r:embed="rId2"/>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564" name="Picture 483"/>
            <xdr:cNvPicPr>
              <a:picLocks noChangeArrowheads="1"/>
              <a:extLst>
                <a:ext uri="{84589F7E-364E-4C9E-8A38-B11213B215E9}">
                  <a14:cameraTool cellRange="DADOS!A51:W59" spid="_x0000_s168644"/>
                </a:ext>
              </a:extLst>
            </xdr:cNvPicPr>
          </xdr:nvPicPr>
          <xdr:blipFill>
            <a:blip xmlns:r="http://schemas.openxmlformats.org/officeDocument/2006/relationships" r:embed="rId3"/>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565" name="Picture 119383"/>
            <xdr:cNvPicPr>
              <a:picLocks noChangeArrowheads="1"/>
              <a:extLst>
                <a:ext uri="{84589F7E-364E-4C9E-8A38-B11213B215E9}">
                  <a14:cameraTool cellRange="DADOS!A51:W59" spid="_x0000_s168645"/>
                </a:ext>
              </a:extLst>
            </xdr:cNvPicPr>
          </xdr:nvPicPr>
          <xdr:blipFill>
            <a:blip xmlns:r="http://schemas.openxmlformats.org/officeDocument/2006/relationships" r:embed="rId3"/>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566" name="Picture 119384"/>
            <xdr:cNvPicPr>
              <a:picLocks noChangeArrowheads="1"/>
              <a:extLst>
                <a:ext uri="{84589F7E-364E-4C9E-8A38-B11213B215E9}">
                  <a14:cameraTool cellRange="DADOS!A51:W59" spid="_x0000_s168646"/>
                </a:ext>
              </a:extLst>
            </xdr:cNvPicPr>
          </xdr:nvPicPr>
          <xdr:blipFill>
            <a:blip xmlns:r="http://schemas.openxmlformats.org/officeDocument/2006/relationships" r:embed="rId3"/>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567" name="Picture 119385"/>
            <xdr:cNvPicPr>
              <a:picLocks noChangeArrowheads="1"/>
              <a:extLst>
                <a:ext uri="{84589F7E-364E-4C9E-8A38-B11213B215E9}">
                  <a14:cameraTool cellRange="DADOS!A51:W59" spid="_x0000_s168647"/>
                </a:ext>
              </a:extLst>
            </xdr:cNvPicPr>
          </xdr:nvPicPr>
          <xdr:blipFill>
            <a:blip xmlns:r="http://schemas.openxmlformats.org/officeDocument/2006/relationships" r:embed="rId3"/>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568" name="Picture 119386"/>
            <xdr:cNvPicPr>
              <a:picLocks noChangeArrowheads="1"/>
              <a:extLst>
                <a:ext uri="{84589F7E-364E-4C9E-8A38-B11213B215E9}">
                  <a14:cameraTool cellRange="DADOS!A51:W59" spid="_x0000_s168648"/>
                </a:ext>
              </a:extLst>
            </xdr:cNvPicPr>
          </xdr:nvPicPr>
          <xdr:blipFill>
            <a:blip xmlns:r="http://schemas.openxmlformats.org/officeDocument/2006/relationships" r:embed="rId3"/>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topLeftCell="A31" zoomScaleSheetLayoutView="100" workbookViewId="0">
      <selection activeCell="F60" sqref="F60"/>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300" t="s">
        <v>123</v>
      </c>
      <c r="C1" s="300"/>
      <c r="D1" s="300"/>
      <c r="E1" s="300"/>
      <c r="F1" s="300"/>
      <c r="G1" s="300"/>
      <c r="H1" s="300"/>
      <c r="I1" s="300"/>
      <c r="J1" s="300"/>
      <c r="K1" s="300"/>
      <c r="L1" s="300"/>
      <c r="M1" s="300"/>
      <c r="N1" s="300"/>
      <c r="O1" s="300"/>
      <c r="P1" s="300"/>
      <c r="Q1" s="300"/>
      <c r="R1" s="300"/>
      <c r="S1" s="300"/>
      <c r="T1" s="300"/>
      <c r="U1" s="300"/>
      <c r="V1" s="300"/>
      <c r="W1" s="300"/>
      <c r="X1" s="301"/>
    </row>
    <row r="2" spans="1:25" ht="13.5" customHeight="1" x14ac:dyDescent="0.2">
      <c r="A2" s="230" t="s">
        <v>325</v>
      </c>
      <c r="B2" s="302"/>
      <c r="C2" s="302"/>
      <c r="D2" s="302"/>
      <c r="E2" s="302"/>
      <c r="F2" s="302"/>
      <c r="G2" s="302"/>
      <c r="H2" s="302"/>
      <c r="I2" s="302"/>
      <c r="J2" s="302"/>
      <c r="K2" s="302"/>
      <c r="L2" s="302"/>
      <c r="M2" s="302"/>
      <c r="N2" s="302"/>
      <c r="O2" s="302"/>
      <c r="P2" s="302"/>
      <c r="Q2" s="302"/>
      <c r="R2" s="302"/>
      <c r="S2" s="302"/>
      <c r="T2" s="302"/>
      <c r="U2" s="302"/>
      <c r="V2" s="302"/>
      <c r="W2" s="302"/>
      <c r="X2" s="303"/>
    </row>
    <row r="3" spans="1:25" customFormat="1" ht="13.5" customHeight="1" x14ac:dyDescent="0.2"/>
    <row r="4" spans="1:25" s="38" customFormat="1" ht="12.75" customHeight="1" x14ac:dyDescent="0.2">
      <c r="A4" s="309" t="s">
        <v>38</v>
      </c>
      <c r="B4" s="309"/>
      <c r="C4" s="309"/>
      <c r="D4" s="309"/>
      <c r="E4" s="309"/>
      <c r="F4" s="309"/>
      <c r="G4" s="309"/>
      <c r="H4" s="309"/>
      <c r="I4" s="309"/>
      <c r="J4" s="309"/>
      <c r="K4" s="309"/>
      <c r="L4" s="309"/>
      <c r="M4" s="309"/>
      <c r="N4" s="309"/>
      <c r="O4" s="309"/>
      <c r="P4" s="309"/>
      <c r="Q4" s="309"/>
      <c r="R4" s="309"/>
      <c r="S4" s="309"/>
      <c r="T4" s="309"/>
      <c r="U4" s="309"/>
      <c r="V4" s="309"/>
      <c r="W4" s="309"/>
      <c r="X4" s="309"/>
    </row>
    <row r="5" spans="1:25" s="38" customFormat="1" x14ac:dyDescent="0.2">
      <c r="A5" s="39"/>
      <c r="B5" s="39"/>
      <c r="F5" s="40"/>
      <c r="G5" s="40"/>
      <c r="H5" s="40"/>
    </row>
    <row r="6" spans="1:25" s="39" customFormat="1" ht="12.75" customHeight="1" x14ac:dyDescent="0.2">
      <c r="A6" s="305" t="s">
        <v>165</v>
      </c>
      <c r="B6" s="306"/>
      <c r="C6" s="306"/>
      <c r="D6" s="306"/>
      <c r="E6" s="306"/>
      <c r="F6" s="306"/>
      <c r="G6" s="306"/>
      <c r="H6" s="306"/>
      <c r="I6" s="306"/>
      <c r="J6" s="306"/>
      <c r="K6" s="306"/>
      <c r="L6" s="306"/>
      <c r="M6" s="306"/>
      <c r="N6" s="306"/>
      <c r="O6" s="306"/>
      <c r="P6" s="306"/>
      <c r="Q6" s="306"/>
      <c r="R6" s="306"/>
      <c r="S6" s="306"/>
      <c r="T6" s="306"/>
      <c r="U6" s="306"/>
      <c r="V6" s="306"/>
      <c r="W6" s="306"/>
      <c r="X6" s="306"/>
    </row>
    <row r="7" spans="1:25" s="38" customFormat="1" ht="12.75" customHeight="1" x14ac:dyDescent="0.2">
      <c r="A7" s="39"/>
      <c r="B7" s="39"/>
      <c r="F7" s="40"/>
      <c r="G7" s="40"/>
      <c r="H7" s="40"/>
    </row>
    <row r="8" spans="1:25" s="38" customFormat="1" ht="12.75" customHeight="1" x14ac:dyDescent="0.2">
      <c r="A8" s="306" t="s">
        <v>166</v>
      </c>
      <c r="B8" s="306"/>
      <c r="C8" s="306"/>
      <c r="D8" s="306"/>
      <c r="E8" s="306"/>
      <c r="F8" s="306"/>
      <c r="G8" s="306"/>
      <c r="H8" s="306"/>
      <c r="I8" s="306"/>
      <c r="J8" s="306"/>
      <c r="K8" s="306"/>
      <c r="L8" s="306"/>
      <c r="M8" s="306"/>
      <c r="N8" s="306"/>
      <c r="O8" s="306"/>
      <c r="P8" s="306"/>
      <c r="Q8" s="306"/>
      <c r="R8" s="306"/>
      <c r="S8" s="306"/>
      <c r="T8" s="306"/>
      <c r="U8" s="306"/>
      <c r="V8" s="306"/>
      <c r="W8" s="306"/>
      <c r="X8" s="306"/>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304" t="s">
        <v>39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304" t="s">
        <v>122</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row>
    <row r="13" spans="1:25" s="38" customFormat="1" x14ac:dyDescent="0.2">
      <c r="A13" s="39"/>
      <c r="B13" s="39"/>
      <c r="F13" s="40"/>
      <c r="G13" s="40"/>
      <c r="H13" s="40"/>
    </row>
    <row r="14" spans="1:25" s="38" customFormat="1" x14ac:dyDescent="0.2">
      <c r="A14" s="305" t="s">
        <v>167</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row>
    <row r="15" spans="1:25" s="38" customFormat="1" x14ac:dyDescent="0.2">
      <c r="A15" s="39"/>
      <c r="B15" s="39"/>
      <c r="F15" s="40"/>
      <c r="G15" s="40"/>
      <c r="H15" s="40"/>
    </row>
    <row r="16" spans="1:25" s="38" customFormat="1" x14ac:dyDescent="0.2">
      <c r="A16" s="307" t="s">
        <v>40</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82" t="s">
        <v>139</v>
      </c>
      <c r="B18" s="282"/>
      <c r="C18" s="283"/>
      <c r="D18" s="283"/>
      <c r="E18" s="283"/>
      <c r="F18" s="283"/>
      <c r="G18" s="283"/>
      <c r="H18" s="283"/>
      <c r="I18" s="283"/>
      <c r="J18" s="283"/>
      <c r="K18" s="283"/>
      <c r="L18" s="283"/>
      <c r="M18" s="283"/>
      <c r="N18" s="283"/>
      <c r="O18" s="283"/>
      <c r="P18" s="283"/>
      <c r="Q18" s="283"/>
      <c r="R18" s="283"/>
      <c r="S18" s="283"/>
      <c r="T18" s="283"/>
      <c r="U18" s="283"/>
      <c r="V18" s="283"/>
      <c r="W18" s="283"/>
      <c r="X18" s="283"/>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80" t="s">
        <v>140</v>
      </c>
      <c r="B20" s="280"/>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s="38" customFormat="1" ht="6" customHeight="1" x14ac:dyDescent="0.2">
      <c r="A21" s="42"/>
      <c r="B21" s="42"/>
      <c r="F21" s="40"/>
      <c r="G21" s="40"/>
      <c r="H21" s="40"/>
    </row>
    <row r="22" spans="1:24" ht="12.75" customHeight="1" x14ac:dyDescent="0.2">
      <c r="A22" s="238" t="s">
        <v>16</v>
      </c>
      <c r="B22" s="240"/>
      <c r="C22" s="238" t="s">
        <v>138</v>
      </c>
      <c r="D22" s="240"/>
      <c r="E22" s="238" t="s">
        <v>10</v>
      </c>
      <c r="F22" s="239"/>
      <c r="G22" s="240"/>
      <c r="H22" s="238" t="s">
        <v>41</v>
      </c>
      <c r="I22" s="239"/>
      <c r="J22" s="239"/>
      <c r="K22" s="240"/>
      <c r="L22" s="238" t="s">
        <v>42</v>
      </c>
      <c r="M22" s="239"/>
      <c r="N22" s="239"/>
      <c r="O22" s="239"/>
      <c r="P22" s="240"/>
      <c r="Q22" s="238" t="s">
        <v>43</v>
      </c>
      <c r="R22" s="239"/>
      <c r="S22" s="239"/>
      <c r="T22" s="239"/>
      <c r="U22" s="239"/>
      <c r="V22" s="240"/>
      <c r="W22" s="284" t="s">
        <v>145</v>
      </c>
      <c r="X22" s="285"/>
    </row>
    <row r="23" spans="1:24" ht="12.75" customHeight="1" x14ac:dyDescent="0.2">
      <c r="A23" s="272"/>
      <c r="B23" s="274"/>
      <c r="C23" s="272"/>
      <c r="D23" s="274"/>
      <c r="E23" s="292" t="s">
        <v>111</v>
      </c>
      <c r="F23" s="293"/>
      <c r="G23" s="294"/>
      <c r="H23" s="272" t="s">
        <v>326</v>
      </c>
      <c r="I23" s="273"/>
      <c r="J23" s="273"/>
      <c r="K23" s="274"/>
      <c r="L23" s="272" t="s">
        <v>332</v>
      </c>
      <c r="M23" s="273"/>
      <c r="N23" s="273"/>
      <c r="O23" s="273"/>
      <c r="P23" s="274"/>
      <c r="Q23" s="272" t="s">
        <v>333</v>
      </c>
      <c r="R23" s="273"/>
      <c r="S23" s="273"/>
      <c r="T23" s="273"/>
      <c r="U23" s="273"/>
      <c r="V23" s="274"/>
      <c r="W23" s="249"/>
      <c r="X23" s="250"/>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38" t="s">
        <v>45</v>
      </c>
      <c r="B25" s="239"/>
      <c r="C25" s="239"/>
      <c r="D25" s="239"/>
      <c r="E25" s="239"/>
      <c r="F25" s="239"/>
      <c r="G25" s="240"/>
      <c r="H25" s="238" t="s">
        <v>46</v>
      </c>
      <c r="I25" s="239"/>
      <c r="J25" s="239"/>
      <c r="K25" s="240"/>
      <c r="L25" s="238" t="s">
        <v>47</v>
      </c>
      <c r="M25" s="239"/>
      <c r="N25" s="239"/>
      <c r="O25" s="239"/>
      <c r="P25" s="240"/>
      <c r="Q25" s="238" t="s">
        <v>48</v>
      </c>
      <c r="R25" s="239"/>
      <c r="S25" s="239"/>
      <c r="T25" s="239"/>
      <c r="U25" s="239"/>
      <c r="V25" s="239"/>
      <c r="W25" s="239"/>
      <c r="X25" s="240"/>
    </row>
    <row r="26" spans="1:24" x14ac:dyDescent="0.2">
      <c r="A26" s="269" t="s">
        <v>327</v>
      </c>
      <c r="B26" s="270"/>
      <c r="C26" s="270"/>
      <c r="D26" s="270"/>
      <c r="E26" s="270"/>
      <c r="F26" s="270"/>
      <c r="G26" s="271"/>
      <c r="H26" s="272" t="s">
        <v>328</v>
      </c>
      <c r="I26" s="273"/>
      <c r="J26" s="273"/>
      <c r="K26" s="274"/>
      <c r="L26" s="272" t="s">
        <v>329</v>
      </c>
      <c r="M26" s="273"/>
      <c r="N26" s="273"/>
      <c r="O26" s="273"/>
      <c r="P26" s="274"/>
      <c r="Q26" s="272" t="s">
        <v>334</v>
      </c>
      <c r="R26" s="273"/>
      <c r="S26" s="273"/>
      <c r="T26" s="273"/>
      <c r="U26" s="273"/>
      <c r="V26" s="273"/>
      <c r="W26" s="273"/>
      <c r="X26" s="274"/>
    </row>
    <row r="27" spans="1:24" s="38" customFormat="1" ht="9" customHeight="1" x14ac:dyDescent="0.2">
      <c r="A27" s="39"/>
      <c r="B27" s="39"/>
      <c r="F27" s="40"/>
      <c r="G27" s="40"/>
      <c r="H27" s="40"/>
    </row>
    <row r="28" spans="1:24" s="38" customFormat="1" x14ac:dyDescent="0.2">
      <c r="A28" s="280" t="s">
        <v>268</v>
      </c>
      <c r="B28" s="280"/>
      <c r="C28" s="281"/>
      <c r="D28" s="281"/>
      <c r="E28" s="281"/>
      <c r="F28" s="281"/>
      <c r="G28" s="281"/>
      <c r="H28" s="281"/>
      <c r="I28" s="281"/>
      <c r="J28" s="281"/>
      <c r="K28" s="281"/>
      <c r="L28" s="281"/>
      <c r="M28" s="281"/>
      <c r="N28" s="281"/>
      <c r="O28" s="281"/>
      <c r="P28" s="281"/>
      <c r="Q28" s="281"/>
      <c r="R28" s="281"/>
      <c r="S28" s="281"/>
      <c r="T28" s="281"/>
      <c r="U28" s="281"/>
      <c r="V28" s="281"/>
      <c r="W28" s="281"/>
      <c r="X28" s="281"/>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75" t="s">
        <v>220</v>
      </c>
      <c r="B31" s="276"/>
      <c r="C31" s="276"/>
      <c r="D31" s="277"/>
      <c r="E31"/>
      <c r="F31"/>
      <c r="G31"/>
      <c r="H31"/>
      <c r="I31"/>
      <c r="J31"/>
      <c r="K31"/>
      <c r="L31"/>
      <c r="M31"/>
      <c r="N31"/>
      <c r="O31"/>
      <c r="P31"/>
      <c r="Q31"/>
      <c r="R31"/>
      <c r="S31"/>
      <c r="T31"/>
      <c r="U31"/>
      <c r="V31"/>
      <c r="W31"/>
      <c r="X31"/>
    </row>
    <row r="32" spans="1:24" s="47" customFormat="1" x14ac:dyDescent="0.2"/>
    <row r="33" spans="1:24" s="38" customFormat="1" ht="12.75" customHeight="1" x14ac:dyDescent="0.2">
      <c r="A33" s="280" t="s">
        <v>270</v>
      </c>
      <c r="B33" s="280"/>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38" t="s">
        <v>146</v>
      </c>
      <c r="B35" s="240"/>
      <c r="C35" s="195" t="s">
        <v>265</v>
      </c>
      <c r="D35" s="238" t="s">
        <v>143</v>
      </c>
      <c r="E35" s="239"/>
      <c r="F35" s="240"/>
      <c r="G35" s="238" t="s">
        <v>141</v>
      </c>
      <c r="H35" s="239"/>
      <c r="I35" s="239"/>
      <c r="J35" s="239"/>
      <c r="K35" s="239"/>
      <c r="L35" s="239"/>
      <c r="M35" s="239"/>
      <c r="N35" s="239"/>
      <c r="O35" s="239"/>
      <c r="P35" s="239"/>
      <c r="Q35" s="239"/>
      <c r="R35" s="239"/>
      <c r="S35" s="240"/>
      <c r="T35" s="198" t="s">
        <v>133</v>
      </c>
      <c r="U35" s="198" t="s">
        <v>134</v>
      </c>
      <c r="V35" s="198" t="s">
        <v>135</v>
      </c>
      <c r="W35" s="198" t="s">
        <v>136</v>
      </c>
      <c r="X35" s="198" t="s">
        <v>137</v>
      </c>
    </row>
    <row r="36" spans="1:24" s="38" customFormat="1" ht="12.75" customHeight="1" x14ac:dyDescent="0.2">
      <c r="A36" s="249">
        <v>42430</v>
      </c>
      <c r="B36" s="250"/>
      <c r="C36" s="194" t="s">
        <v>257</v>
      </c>
      <c r="D36" s="251" t="s">
        <v>248</v>
      </c>
      <c r="E36" s="252"/>
      <c r="F36" s="253"/>
      <c r="G36" s="251" t="s">
        <v>337</v>
      </c>
      <c r="H36" s="252"/>
      <c r="I36" s="252"/>
      <c r="J36" s="252"/>
      <c r="K36" s="252"/>
      <c r="L36" s="252"/>
      <c r="M36" s="252"/>
      <c r="N36" s="252"/>
      <c r="O36" s="252"/>
      <c r="P36" s="252"/>
      <c r="Q36" s="252"/>
      <c r="R36" s="252"/>
      <c r="S36" s="253"/>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80" t="s">
        <v>271</v>
      </c>
      <c r="B38" s="280"/>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38" t="s">
        <v>259</v>
      </c>
      <c r="B40" s="240"/>
      <c r="C40" s="238" t="s">
        <v>260</v>
      </c>
      <c r="D40" s="239"/>
      <c r="E40" s="239"/>
      <c r="F40" s="239"/>
      <c r="G40" s="239"/>
      <c r="H40" s="238" t="s">
        <v>262</v>
      </c>
      <c r="I40" s="239"/>
      <c r="J40" s="48" t="s">
        <v>265</v>
      </c>
      <c r="K40" s="238" t="s">
        <v>261</v>
      </c>
      <c r="L40" s="239"/>
      <c r="M40" s="240"/>
      <c r="N40" s="48" t="s">
        <v>266</v>
      </c>
      <c r="O40" s="238" t="s">
        <v>267</v>
      </c>
      <c r="P40" s="239"/>
      <c r="Q40" s="239"/>
      <c r="R40" s="239"/>
      <c r="S40" s="239"/>
      <c r="T40" s="240"/>
      <c r="U40" s="241" t="s">
        <v>263</v>
      </c>
      <c r="V40" s="242"/>
      <c r="W40" s="241" t="s">
        <v>264</v>
      </c>
      <c r="X40" s="242"/>
    </row>
    <row r="41" spans="1:24" s="38" customFormat="1" ht="12.75" hidden="1" customHeight="1" x14ac:dyDescent="0.2">
      <c r="A41" s="251"/>
      <c r="B41" s="253"/>
      <c r="C41" s="251"/>
      <c r="D41" s="252"/>
      <c r="E41" s="252"/>
      <c r="F41" s="252"/>
      <c r="G41" s="252"/>
      <c r="H41" s="254"/>
      <c r="I41" s="255"/>
      <c r="J41" s="191" t="s">
        <v>257</v>
      </c>
      <c r="K41" s="256"/>
      <c r="L41" s="257"/>
      <c r="M41" s="258"/>
      <c r="N41" s="202"/>
      <c r="O41" s="254"/>
      <c r="P41" s="255"/>
      <c r="Q41" s="255"/>
      <c r="R41" s="290"/>
      <c r="S41" s="290"/>
      <c r="T41" s="291"/>
      <c r="U41" s="297"/>
      <c r="V41" s="298"/>
      <c r="W41" s="295"/>
      <c r="X41" s="296"/>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80" t="s">
        <v>168</v>
      </c>
      <c r="B43" s="280"/>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86">
        <v>42552</v>
      </c>
      <c r="B46" s="287"/>
      <c r="C46" s="288"/>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80" t="s">
        <v>215</v>
      </c>
      <c r="B48" s="280"/>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89" t="s">
        <v>330</v>
      </c>
      <c r="C52" s="289"/>
      <c r="D52" s="289"/>
      <c r="E52" s="289"/>
      <c r="F52" s="53"/>
      <c r="G52" s="226" t="s">
        <v>2</v>
      </c>
      <c r="H52" s="289"/>
      <c r="I52" s="289"/>
      <c r="J52" s="289"/>
      <c r="K52" s="289"/>
      <c r="L52" s="2"/>
      <c r="M52" s="226" t="s">
        <v>2</v>
      </c>
      <c r="N52" s="289"/>
      <c r="O52" s="289"/>
      <c r="P52" s="289"/>
      <c r="Q52" s="289"/>
      <c r="R52" s="2"/>
      <c r="S52" s="226" t="s">
        <v>2</v>
      </c>
      <c r="T52" s="289"/>
      <c r="U52" s="289"/>
      <c r="V52" s="289"/>
      <c r="W52" s="289"/>
    </row>
    <row r="53" spans="1:24" s="38" customFormat="1" x14ac:dyDescent="0.2">
      <c r="A53" s="226" t="s">
        <v>152</v>
      </c>
      <c r="B53" s="289" t="s">
        <v>331</v>
      </c>
      <c r="C53" s="289"/>
      <c r="D53" s="289"/>
      <c r="E53" s="289"/>
      <c r="F53" s="53"/>
      <c r="G53" s="226" t="s">
        <v>152</v>
      </c>
      <c r="H53" s="289"/>
      <c r="I53" s="289"/>
      <c r="J53" s="289"/>
      <c r="K53" s="289"/>
      <c r="L53" s="2"/>
      <c r="M53" s="226" t="s">
        <v>152</v>
      </c>
      <c r="N53" s="289"/>
      <c r="O53" s="289"/>
      <c r="P53" s="289"/>
      <c r="Q53" s="289"/>
      <c r="R53" s="2"/>
      <c r="S53" s="226" t="s">
        <v>152</v>
      </c>
      <c r="T53" s="289"/>
      <c r="U53" s="289"/>
      <c r="V53" s="289"/>
      <c r="W53" s="289"/>
    </row>
    <row r="54" spans="1:24" s="38" customFormat="1" x14ac:dyDescent="0.2">
      <c r="A54" s="226" t="s">
        <v>286</v>
      </c>
      <c r="B54" s="289">
        <v>70065</v>
      </c>
      <c r="C54" s="289"/>
      <c r="D54" s="289"/>
      <c r="E54" s="289"/>
      <c r="F54" s="53"/>
      <c r="G54" s="226" t="s">
        <v>286</v>
      </c>
      <c r="H54" s="289"/>
      <c r="I54" s="289"/>
      <c r="J54" s="289"/>
      <c r="K54" s="289"/>
      <c r="L54" s="2"/>
      <c r="M54" s="226" t="s">
        <v>286</v>
      </c>
      <c r="N54" s="289"/>
      <c r="O54" s="289"/>
      <c r="P54" s="289"/>
      <c r="Q54" s="289"/>
      <c r="R54" s="2"/>
      <c r="S54" s="226" t="s">
        <v>286</v>
      </c>
      <c r="T54" s="289"/>
      <c r="U54" s="289"/>
      <c r="V54" s="289"/>
      <c r="W54" s="289"/>
    </row>
    <row r="55" spans="1:24" s="38" customFormat="1" x14ac:dyDescent="0.2">
      <c r="A55" s="226" t="s">
        <v>287</v>
      </c>
      <c r="B55" s="289">
        <v>7603296</v>
      </c>
      <c r="C55" s="289"/>
      <c r="D55" s="289"/>
      <c r="E55" s="289"/>
      <c r="F55" s="53"/>
      <c r="G55" s="226" t="s">
        <v>287</v>
      </c>
      <c r="H55" s="289"/>
      <c r="I55" s="289"/>
      <c r="J55" s="289"/>
      <c r="K55" s="289"/>
      <c r="L55" s="2"/>
      <c r="M55" s="226" t="s">
        <v>287</v>
      </c>
      <c r="N55" s="289"/>
      <c r="O55" s="289"/>
      <c r="P55" s="289"/>
      <c r="Q55" s="289"/>
      <c r="R55" s="2"/>
      <c r="S55" s="226" t="s">
        <v>287</v>
      </c>
      <c r="T55" s="289"/>
      <c r="U55" s="289"/>
      <c r="V55" s="289"/>
      <c r="W55" s="289"/>
    </row>
    <row r="56" spans="1:24" s="38" customFormat="1" hidden="1" x14ac:dyDescent="0.2">
      <c r="A56" s="226" t="s">
        <v>2</v>
      </c>
      <c r="B56" s="289"/>
      <c r="C56" s="289"/>
      <c r="D56" s="289"/>
      <c r="E56" s="289"/>
      <c r="F56" s="53"/>
      <c r="G56" s="226" t="s">
        <v>2</v>
      </c>
      <c r="H56" s="310"/>
      <c r="I56" s="289"/>
      <c r="J56" s="289"/>
      <c r="K56" s="289"/>
      <c r="L56" s="2"/>
      <c r="M56" s="226" t="s">
        <v>2</v>
      </c>
      <c r="N56" s="289"/>
      <c r="O56" s="289"/>
      <c r="P56" s="289"/>
      <c r="Q56" s="289"/>
      <c r="R56" s="2"/>
      <c r="S56" s="226" t="s">
        <v>2</v>
      </c>
      <c r="T56" s="289"/>
      <c r="U56" s="289"/>
      <c r="V56" s="289"/>
      <c r="W56" s="289"/>
    </row>
    <row r="57" spans="1:24" s="38" customFormat="1" hidden="1" x14ac:dyDescent="0.2">
      <c r="A57" s="226" t="s">
        <v>205</v>
      </c>
      <c r="B57" s="310" t="s">
        <v>288</v>
      </c>
      <c r="C57" s="289"/>
      <c r="D57" s="289"/>
      <c r="E57" s="289"/>
      <c r="F57" s="53"/>
      <c r="G57" s="226" t="s">
        <v>205</v>
      </c>
      <c r="H57" s="289"/>
      <c r="I57" s="289"/>
      <c r="J57" s="289"/>
      <c r="K57" s="289"/>
      <c r="L57" s="2"/>
      <c r="M57" s="226" t="s">
        <v>205</v>
      </c>
      <c r="N57" s="289"/>
      <c r="O57" s="289"/>
      <c r="P57" s="289"/>
      <c r="Q57" s="289"/>
      <c r="R57" s="2"/>
      <c r="S57" s="226" t="s">
        <v>205</v>
      </c>
      <c r="T57" s="289"/>
      <c r="U57" s="289"/>
      <c r="V57" s="289"/>
      <c r="W57" s="289"/>
    </row>
    <row r="58" spans="1:24" s="38" customFormat="1" hidden="1" x14ac:dyDescent="0.2">
      <c r="A58" s="226" t="s">
        <v>289</v>
      </c>
      <c r="B58" s="289">
        <f>Import.Empresa</f>
        <v>0</v>
      </c>
      <c r="C58" s="289"/>
      <c r="D58" s="289"/>
      <c r="E58" s="289"/>
      <c r="F58" s="53"/>
      <c r="G58" s="226" t="s">
        <v>289</v>
      </c>
      <c r="H58" s="311"/>
      <c r="I58" s="311"/>
      <c r="J58" s="311"/>
      <c r="K58" s="311"/>
      <c r="L58" s="2"/>
      <c r="M58" s="226" t="s">
        <v>289</v>
      </c>
      <c r="N58" s="311"/>
      <c r="O58" s="311"/>
      <c r="P58" s="311"/>
      <c r="Q58" s="311"/>
      <c r="R58" s="2"/>
      <c r="S58" s="226" t="s">
        <v>289</v>
      </c>
      <c r="T58" s="311"/>
      <c r="U58" s="311"/>
      <c r="V58" s="311"/>
      <c r="W58" s="311"/>
    </row>
    <row r="59" spans="1:24" s="38" customFormat="1" hidden="1" x14ac:dyDescent="0.2">
      <c r="A59" s="226" t="s">
        <v>290</v>
      </c>
      <c r="B59" s="289">
        <f>Import.CNPJ</f>
        <v>0</v>
      </c>
      <c r="C59" s="289"/>
      <c r="D59" s="289"/>
      <c r="E59" s="289"/>
      <c r="F59" s="53"/>
      <c r="G59" s="226" t="s">
        <v>290</v>
      </c>
      <c r="H59" s="289"/>
      <c r="I59" s="289"/>
      <c r="J59" s="289"/>
      <c r="K59" s="289"/>
      <c r="L59" s="2"/>
      <c r="M59" s="226" t="s">
        <v>290</v>
      </c>
      <c r="N59" s="289"/>
      <c r="O59" s="289"/>
      <c r="P59" s="289"/>
      <c r="Q59" s="289"/>
      <c r="R59" s="2"/>
      <c r="S59" s="226" t="s">
        <v>290</v>
      </c>
      <c r="T59" s="289"/>
      <c r="U59" s="289"/>
      <c r="V59" s="289"/>
      <c r="W59" s="289"/>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82" t="s">
        <v>296</v>
      </c>
      <c r="B62" s="282"/>
      <c r="C62" s="283"/>
      <c r="D62" s="283"/>
      <c r="E62" s="283"/>
      <c r="F62" s="283"/>
      <c r="G62" s="283"/>
      <c r="H62" s="283"/>
      <c r="I62" s="283"/>
      <c r="J62" s="283"/>
      <c r="K62" s="283"/>
      <c r="L62" s="283"/>
      <c r="M62" s="283"/>
      <c r="N62" s="283"/>
      <c r="O62" s="283"/>
      <c r="P62" s="283"/>
      <c r="Q62" s="283"/>
      <c r="R62" s="283"/>
      <c r="S62" s="283"/>
      <c r="T62" s="283"/>
      <c r="U62" s="283"/>
      <c r="V62" s="283"/>
      <c r="W62" s="283"/>
      <c r="X62" s="283"/>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80" t="s">
        <v>297</v>
      </c>
      <c r="B64" s="280"/>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s="38" customFormat="1" x14ac:dyDescent="0.2">
      <c r="A65" s="280" t="s">
        <v>221</v>
      </c>
      <c r="B65" s="280"/>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s="38" customFormat="1" ht="12.75" customHeight="1" x14ac:dyDescent="0.2">
      <c r="A66" s="280" t="s">
        <v>298</v>
      </c>
      <c r="B66" s="280"/>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s="38" customFormat="1" ht="12.75" customHeight="1" x14ac:dyDescent="0.2">
      <c r="A67" s="280" t="s">
        <v>299</v>
      </c>
      <c r="B67" s="280"/>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s="38" customFormat="1" ht="12.75" customHeight="1" x14ac:dyDescent="0.2">
      <c r="A68" s="280" t="s">
        <v>222</v>
      </c>
      <c r="B68" s="280"/>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s="38" customFormat="1" ht="12.75" customHeight="1" x14ac:dyDescent="0.2">
      <c r="A69" s="280" t="s">
        <v>300</v>
      </c>
      <c r="B69" s="280"/>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s="38" customFormat="1" x14ac:dyDescent="0.2">
      <c r="A70" s="39"/>
      <c r="B70" s="39"/>
      <c r="F70" s="53"/>
      <c r="G70" s="54"/>
      <c r="H70" s="55"/>
    </row>
    <row r="71" spans="1:24" s="38" customFormat="1" ht="12.75" customHeight="1" x14ac:dyDescent="0.2">
      <c r="A71" s="282" t="s">
        <v>207</v>
      </c>
      <c r="B71" s="282"/>
      <c r="C71" s="283"/>
      <c r="D71" s="283"/>
      <c r="E71" s="283"/>
      <c r="F71" s="283"/>
      <c r="G71" s="283"/>
      <c r="H71" s="283"/>
      <c r="I71" s="283"/>
      <c r="J71" s="283"/>
      <c r="K71" s="283"/>
      <c r="L71" s="283"/>
      <c r="M71" s="283"/>
      <c r="N71" s="283"/>
      <c r="O71" s="283"/>
      <c r="P71" s="283"/>
      <c r="Q71" s="283"/>
      <c r="R71" s="283"/>
      <c r="S71" s="283"/>
      <c r="T71" s="283"/>
      <c r="U71" s="283"/>
      <c r="V71" s="283"/>
      <c r="W71" s="283"/>
      <c r="X71" s="283"/>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80" t="s">
        <v>208</v>
      </c>
      <c r="B73" s="280"/>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s="38" customFormat="1" ht="12.75" customHeight="1" x14ac:dyDescent="0.2">
      <c r="A74" s="267" t="s">
        <v>301</v>
      </c>
      <c r="B74" s="267"/>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s="38" customFormat="1" ht="12.75" customHeight="1" x14ac:dyDescent="0.2">
      <c r="A75" s="267" t="s">
        <v>302</v>
      </c>
      <c r="B75" s="267"/>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s="38" customFormat="1" ht="12.75" customHeight="1" x14ac:dyDescent="0.2">
      <c r="A76" s="267" t="s">
        <v>209</v>
      </c>
      <c r="B76" s="267"/>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s="38" customFormat="1" ht="12.75" customHeight="1" x14ac:dyDescent="0.2">
      <c r="A77" s="267" t="s">
        <v>210</v>
      </c>
      <c r="B77" s="267"/>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s="38" customFormat="1" ht="12.75" customHeight="1" x14ac:dyDescent="0.2">
      <c r="A78" s="267" t="s">
        <v>303</v>
      </c>
      <c r="B78" s="267"/>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s="38" customFormat="1" ht="25.5" customHeight="1" x14ac:dyDescent="0.2">
      <c r="A79" s="267" t="s">
        <v>304</v>
      </c>
      <c r="B79" s="267"/>
      <c r="C79" s="299"/>
      <c r="D79" s="299"/>
      <c r="E79" s="299"/>
      <c r="F79" s="299"/>
      <c r="G79" s="299"/>
      <c r="H79" s="299"/>
      <c r="I79" s="299"/>
      <c r="J79" s="299"/>
      <c r="K79" s="299"/>
      <c r="L79" s="299"/>
      <c r="M79" s="299"/>
      <c r="N79" s="299"/>
      <c r="O79" s="299"/>
      <c r="P79" s="299"/>
      <c r="Q79" s="299"/>
      <c r="R79" s="299"/>
      <c r="S79" s="299"/>
      <c r="T79" s="299"/>
      <c r="U79" s="299"/>
      <c r="V79" s="299"/>
      <c r="W79" s="299"/>
      <c r="X79" s="299"/>
    </row>
    <row r="80" spans="1:24" s="38" customFormat="1" ht="12.75" customHeight="1" x14ac:dyDescent="0.2">
      <c r="A80" s="267" t="s">
        <v>305</v>
      </c>
      <c r="B80" s="267"/>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s="38" customFormat="1" x14ac:dyDescent="0.2">
      <c r="A81" s="39"/>
      <c r="B81" s="39"/>
      <c r="F81" s="53"/>
      <c r="G81" s="54"/>
      <c r="H81" s="55"/>
    </row>
    <row r="82" spans="1:24" s="38" customFormat="1" ht="12.75" customHeight="1" x14ac:dyDescent="0.2">
      <c r="A82" s="280" t="s">
        <v>211</v>
      </c>
      <c r="B82" s="280"/>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8" customFormat="1" ht="12.75" customHeight="1" x14ac:dyDescent="0.2">
      <c r="A83" s="267" t="s">
        <v>212</v>
      </c>
      <c r="B83" s="267"/>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s="38" customFormat="1" ht="12.75" customHeight="1" x14ac:dyDescent="0.2">
      <c r="A84" s="278" t="s">
        <v>307</v>
      </c>
      <c r="B84" s="278"/>
      <c r="C84" s="279"/>
      <c r="D84" s="279"/>
      <c r="E84" s="279"/>
      <c r="F84" s="279"/>
      <c r="G84" s="279"/>
      <c r="H84" s="279"/>
      <c r="I84" s="279"/>
      <c r="J84" s="279"/>
      <c r="K84" s="279"/>
      <c r="L84" s="279"/>
      <c r="M84" s="279"/>
      <c r="N84" s="279"/>
      <c r="O84" s="279"/>
      <c r="P84" s="279"/>
      <c r="Q84" s="279"/>
      <c r="R84" s="279"/>
      <c r="S84" s="279"/>
      <c r="T84" s="279"/>
      <c r="U84" s="279"/>
      <c r="V84" s="279"/>
      <c r="W84" s="279"/>
      <c r="X84" s="279"/>
    </row>
    <row r="85" spans="1:24" s="38" customFormat="1" ht="12.75" customHeight="1" x14ac:dyDescent="0.2">
      <c r="A85" s="278" t="s">
        <v>306</v>
      </c>
      <c r="B85" s="278"/>
      <c r="C85" s="279"/>
      <c r="D85" s="279"/>
      <c r="E85" s="279"/>
      <c r="F85" s="279"/>
      <c r="G85" s="279"/>
      <c r="H85" s="279"/>
      <c r="I85" s="279"/>
      <c r="J85" s="279"/>
      <c r="K85" s="279"/>
      <c r="L85" s="279"/>
      <c r="M85" s="279"/>
      <c r="N85" s="279"/>
      <c r="O85" s="279"/>
      <c r="P85" s="279"/>
      <c r="Q85" s="279"/>
      <c r="R85" s="279"/>
      <c r="S85" s="279"/>
      <c r="T85" s="279"/>
      <c r="U85" s="279"/>
      <c r="V85" s="279"/>
      <c r="W85" s="279"/>
      <c r="X85" s="279"/>
    </row>
    <row r="86" spans="1:24" s="38" customFormat="1" ht="12.75" customHeight="1" x14ac:dyDescent="0.2">
      <c r="A86" s="278" t="s">
        <v>308</v>
      </c>
      <c r="B86" s="278"/>
      <c r="C86" s="279"/>
      <c r="D86" s="279"/>
      <c r="E86" s="279"/>
      <c r="F86" s="279"/>
      <c r="G86" s="279"/>
      <c r="H86" s="279"/>
      <c r="I86" s="279"/>
      <c r="J86" s="279"/>
      <c r="K86" s="279"/>
      <c r="L86" s="279"/>
      <c r="M86" s="279"/>
      <c r="N86" s="279"/>
      <c r="O86" s="279"/>
      <c r="P86" s="279"/>
      <c r="Q86" s="279"/>
      <c r="R86" s="279"/>
      <c r="S86" s="279"/>
      <c r="T86" s="279"/>
      <c r="U86" s="279"/>
      <c r="V86" s="279"/>
      <c r="W86" s="279"/>
      <c r="X86" s="279"/>
    </row>
    <row r="87" spans="1:24" s="38" customFormat="1" ht="12.75" customHeight="1" x14ac:dyDescent="0.2">
      <c r="A87" s="278" t="s">
        <v>309</v>
      </c>
      <c r="B87" s="278"/>
      <c r="C87" s="279"/>
      <c r="D87" s="279"/>
      <c r="E87" s="279"/>
      <c r="F87" s="279"/>
      <c r="G87" s="279"/>
      <c r="H87" s="279"/>
      <c r="I87" s="279"/>
      <c r="J87" s="279"/>
      <c r="K87" s="279"/>
      <c r="L87" s="279"/>
      <c r="M87" s="279"/>
      <c r="N87" s="279"/>
      <c r="O87" s="279"/>
      <c r="P87" s="279"/>
      <c r="Q87" s="279"/>
      <c r="R87" s="279"/>
      <c r="S87" s="279"/>
      <c r="T87" s="279"/>
      <c r="U87" s="279"/>
      <c r="V87" s="279"/>
      <c r="W87" s="279"/>
      <c r="X87" s="279"/>
    </row>
    <row r="88" spans="1:24" s="38" customFormat="1" ht="12.75" customHeight="1" x14ac:dyDescent="0.2">
      <c r="A88" s="278" t="s">
        <v>310</v>
      </c>
      <c r="B88" s="278"/>
      <c r="C88" s="279"/>
      <c r="D88" s="279"/>
      <c r="E88" s="279"/>
      <c r="F88" s="279"/>
      <c r="G88" s="279"/>
      <c r="H88" s="279"/>
      <c r="I88" s="279"/>
      <c r="J88" s="279"/>
      <c r="K88" s="279"/>
      <c r="L88" s="279"/>
      <c r="M88" s="279"/>
      <c r="N88" s="279"/>
      <c r="O88" s="279"/>
      <c r="P88" s="279"/>
      <c r="Q88" s="279"/>
      <c r="R88" s="279"/>
      <c r="S88" s="279"/>
      <c r="T88" s="279"/>
      <c r="U88" s="279"/>
      <c r="V88" s="279"/>
      <c r="W88" s="279"/>
      <c r="X88" s="279"/>
    </row>
    <row r="89" spans="1:24" s="38" customFormat="1" ht="12.75" customHeight="1" x14ac:dyDescent="0.2">
      <c r="A89" s="267" t="s">
        <v>213</v>
      </c>
      <c r="B89" s="267"/>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38" customFormat="1" ht="12.75" customHeight="1" x14ac:dyDescent="0.2">
      <c r="A90" s="267" t="s">
        <v>311</v>
      </c>
      <c r="B90" s="267"/>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s="38" customFormat="1" ht="12.75" customHeight="1" x14ac:dyDescent="0.2">
      <c r="A91" s="267" t="s">
        <v>214</v>
      </c>
      <c r="B91" s="267"/>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s="38" customFormat="1" ht="26.25" customHeight="1" x14ac:dyDescent="0.2">
      <c r="A92" s="267" t="s">
        <v>312</v>
      </c>
      <c r="B92" s="267"/>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x14ac:dyDescent="0.2">
      <c r="A93" s="267" t="s">
        <v>313</v>
      </c>
      <c r="B93" s="267"/>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x14ac:dyDescent="0.2">
      <c r="A94" s="278" t="s">
        <v>225</v>
      </c>
      <c r="B94" s="278"/>
      <c r="C94" s="279"/>
      <c r="D94" s="279"/>
      <c r="E94" s="279"/>
      <c r="F94" s="279"/>
      <c r="G94" s="279"/>
      <c r="H94" s="279"/>
      <c r="I94" s="279"/>
      <c r="J94" s="279"/>
      <c r="K94" s="279"/>
      <c r="L94" s="279"/>
      <c r="M94" s="279"/>
      <c r="N94" s="279"/>
      <c r="O94" s="279"/>
      <c r="P94" s="279"/>
      <c r="Q94" s="279"/>
      <c r="R94" s="279"/>
      <c r="S94" s="279"/>
      <c r="T94" s="279"/>
      <c r="U94" s="279"/>
      <c r="V94" s="279"/>
      <c r="W94" s="279"/>
      <c r="X94" s="279"/>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80" t="s">
        <v>314</v>
      </c>
      <c r="B96" s="280"/>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80" t="s">
        <v>315</v>
      </c>
      <c r="B98" s="280"/>
      <c r="C98" s="280"/>
      <c r="D98" s="280"/>
      <c r="E98" s="280"/>
      <c r="F98" s="280"/>
      <c r="G98" s="280"/>
      <c r="H98" s="280"/>
      <c r="I98" s="280"/>
      <c r="J98" s="280"/>
      <c r="K98" s="280"/>
      <c r="L98" s="280"/>
      <c r="M98" s="280"/>
      <c r="N98" s="280"/>
      <c r="O98" s="280"/>
      <c r="P98" s="280"/>
      <c r="Q98" s="280"/>
      <c r="R98" s="280"/>
      <c r="S98" s="280"/>
      <c r="T98" s="280"/>
      <c r="U98" s="280"/>
      <c r="V98" s="280"/>
      <c r="W98" s="280"/>
      <c r="X98" s="280"/>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80" t="s">
        <v>316</v>
      </c>
      <c r="B100" s="280"/>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2" spans="1:24" x14ac:dyDescent="0.2">
      <c r="A102" s="282" t="s">
        <v>224</v>
      </c>
      <c r="B102" s="28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80" t="s">
        <v>317</v>
      </c>
      <c r="B104" s="280"/>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x14ac:dyDescent="0.2">
      <c r="A105" s="267" t="s">
        <v>318</v>
      </c>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row>
    <row r="106" spans="1:24" ht="12.75" customHeight="1" x14ac:dyDescent="0.2">
      <c r="A106" s="280" t="s">
        <v>319</v>
      </c>
      <c r="B106" s="280"/>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x14ac:dyDescent="0.2">
      <c r="A107" s="267"/>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row>
    <row r="108" spans="1:24" ht="12.75" customHeight="1" x14ac:dyDescent="0.2">
      <c r="A108" s="282" t="s">
        <v>320</v>
      </c>
      <c r="B108" s="28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row>
    <row r="109" spans="1:24" x14ac:dyDescent="0.2">
      <c r="A109" s="267"/>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row>
    <row r="110" spans="1:24" ht="12.75" customHeight="1" x14ac:dyDescent="0.2">
      <c r="A110" s="280" t="s">
        <v>321</v>
      </c>
      <c r="B110" s="280"/>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2.75" customHeight="1" x14ac:dyDescent="0.2">
      <c r="A111" s="280" t="s">
        <v>322</v>
      </c>
      <c r="B111" s="280"/>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x14ac:dyDescent="0.2">
      <c r="A112" s="267" t="s">
        <v>323</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38" t="s">
        <v>16</v>
      </c>
      <c r="B240" s="240"/>
      <c r="C240" s="238" t="s">
        <v>138</v>
      </c>
      <c r="D240" s="240"/>
      <c r="E240" s="238" t="s">
        <v>10</v>
      </c>
      <c r="F240" s="239"/>
      <c r="G240" s="240"/>
      <c r="H240" s="238" t="s">
        <v>41</v>
      </c>
      <c r="I240" s="239"/>
      <c r="J240" s="239"/>
      <c r="K240" s="240"/>
      <c r="L240" s="238" t="s">
        <v>42</v>
      </c>
      <c r="M240" s="239"/>
      <c r="N240" s="239"/>
      <c r="O240" s="239"/>
      <c r="P240" s="240"/>
      <c r="Q240" s="238" t="s">
        <v>43</v>
      </c>
      <c r="R240" s="239"/>
      <c r="S240" s="239"/>
      <c r="T240" s="239"/>
      <c r="U240" s="239"/>
      <c r="V240" s="240"/>
      <c r="W240" s="284" t="s">
        <v>145</v>
      </c>
      <c r="X240" s="285"/>
    </row>
    <row r="241" spans="1:24" ht="12.75" customHeight="1" x14ac:dyDescent="0.2">
      <c r="A241" s="246" t="str">
        <f>IF(A23="","",A23)</f>
        <v/>
      </c>
      <c r="B241" s="248"/>
      <c r="C241" s="246" t="str">
        <f>IF(C23="","",C23)</f>
        <v/>
      </c>
      <c r="D241" s="248"/>
      <c r="E241" s="264" t="str">
        <f>IF(E23="","",E23)</f>
        <v>SM - SANTA MARIA</v>
      </c>
      <c r="F241" s="265"/>
      <c r="G241" s="266" t="str">
        <f>IF(G23="","",G23)</f>
        <v/>
      </c>
      <c r="H241" s="246" t="str">
        <f>IF(H23="","",H23)</f>
        <v>MINISTERIO DO TURISMO</v>
      </c>
      <c r="I241" s="247" t="str">
        <f>IF(I23="","",I23)</f>
        <v/>
      </c>
      <c r="J241" s="247"/>
      <c r="K241" s="248" t="str">
        <f>IF(K23="","",K23)</f>
        <v/>
      </c>
      <c r="L241" s="246" t="str">
        <f>IF(L23="","",L23)</f>
        <v>APOIO PROJ. INFRAESTRUTURA NO TURISMO</v>
      </c>
      <c r="M241" s="247" t="str">
        <f>IF(M23="","",M23)</f>
        <v/>
      </c>
      <c r="N241" s="247"/>
      <c r="O241" s="247" t="str">
        <f>IF(O23="","",O23)</f>
        <v/>
      </c>
      <c r="P241" s="248"/>
      <c r="Q241" s="246" t="str">
        <f>IF(Q23="","",Q23)</f>
        <v>TURISMO NO BRASIL</v>
      </c>
      <c r="R241" s="247"/>
      <c r="S241" s="247" t="str">
        <f>IF(S23="","",S23)</f>
        <v/>
      </c>
      <c r="T241" s="247"/>
      <c r="U241" s="247" t="str">
        <f>IF(U23="","",U23)</f>
        <v/>
      </c>
      <c r="V241" s="248"/>
      <c r="W241" s="259" t="str">
        <f>IF(W23="","",W23)</f>
        <v/>
      </c>
      <c r="X241" s="260"/>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38" t="s">
        <v>45</v>
      </c>
      <c r="B243" s="239"/>
      <c r="C243" s="239"/>
      <c r="D243" s="239"/>
      <c r="E243" s="239"/>
      <c r="F243" s="239"/>
      <c r="G243" s="240"/>
      <c r="H243" s="238" t="s">
        <v>46</v>
      </c>
      <c r="I243" s="239"/>
      <c r="J243" s="239"/>
      <c r="K243" s="240"/>
      <c r="L243" s="238" t="s">
        <v>47</v>
      </c>
      <c r="M243" s="239"/>
      <c r="N243" s="239"/>
      <c r="O243" s="239"/>
      <c r="P243" s="240"/>
      <c r="Q243" s="238" t="s">
        <v>48</v>
      </c>
      <c r="R243" s="239"/>
      <c r="S243" s="239"/>
      <c r="T243" s="239"/>
      <c r="U243" s="239"/>
      <c r="V243" s="239"/>
      <c r="W243" s="239"/>
      <c r="X243" s="240"/>
    </row>
    <row r="244" spans="1:24" x14ac:dyDescent="0.2">
      <c r="A244" s="261" t="str">
        <f>IF(A26="","",A26)</f>
        <v>PREFEITURA DE LAVRAS DO SUL</v>
      </c>
      <c r="B244" s="262"/>
      <c r="C244" s="262" t="str">
        <f>IF(C26="","",C26)</f>
        <v/>
      </c>
      <c r="D244" s="262"/>
      <c r="E244" s="262" t="str">
        <f>IF(E26="","",E26)</f>
        <v/>
      </c>
      <c r="F244" s="262"/>
      <c r="G244" s="263" t="str">
        <f>IF(G26="","",G26)</f>
        <v/>
      </c>
      <c r="H244" s="246" t="str">
        <f>IF(H26="","",H26)</f>
        <v>LAVRAS DO SUL</v>
      </c>
      <c r="I244" s="247" t="str">
        <f>IF(I26="","",I26)</f>
        <v/>
      </c>
      <c r="J244" s="247"/>
      <c r="K244" s="248" t="str">
        <f>IF(K26="","",K26)</f>
        <v/>
      </c>
      <c r="L244" s="246" t="str">
        <f>IF(L26="","",L26)</f>
        <v>CEL. MEZA, N° 373</v>
      </c>
      <c r="M244" s="247" t="str">
        <f>IF(M26="","",M26)</f>
        <v/>
      </c>
      <c r="N244" s="247"/>
      <c r="O244" s="247" t="str">
        <f>IF(O26="","",O26)</f>
        <v/>
      </c>
      <c r="P244" s="248"/>
      <c r="Q244" s="246" t="str">
        <f>IF(Q26="","",Q26)</f>
        <v>REVITALIZAÇÃO DO BALNEARIO DO PAREDÃO</v>
      </c>
      <c r="R244" s="247"/>
      <c r="S244" s="247" t="str">
        <f>IF(S26="","",S26)</f>
        <v/>
      </c>
      <c r="T244" s="247"/>
      <c r="U244" s="247" t="str">
        <f>IF(U26="","",U26)</f>
        <v/>
      </c>
      <c r="V244" s="247"/>
      <c r="W244" s="247" t="str">
        <f>IF(W26="","",W26)</f>
        <v/>
      </c>
      <c r="X244" s="248"/>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38" t="s">
        <v>146</v>
      </c>
      <c r="B246" s="240"/>
      <c r="C246" s="195" t="s">
        <v>265</v>
      </c>
      <c r="D246" s="238" t="s">
        <v>143</v>
      </c>
      <c r="E246" s="239"/>
      <c r="F246" s="240"/>
      <c r="G246" s="238" t="s">
        <v>141</v>
      </c>
      <c r="H246" s="239"/>
      <c r="I246" s="239"/>
      <c r="J246" s="239"/>
      <c r="K246" s="239"/>
      <c r="L246" s="239"/>
      <c r="M246" s="239"/>
      <c r="N246" s="239"/>
      <c r="O246" s="239"/>
      <c r="P246" s="239"/>
      <c r="Q246" s="239"/>
      <c r="R246" s="239"/>
      <c r="S246" s="240"/>
      <c r="T246" s="198" t="s">
        <v>133</v>
      </c>
      <c r="U246" s="198" t="s">
        <v>134</v>
      </c>
      <c r="V246" s="198" t="s">
        <v>135</v>
      </c>
      <c r="W246" s="198" t="s">
        <v>136</v>
      </c>
      <c r="X246" s="198" t="s">
        <v>137</v>
      </c>
    </row>
    <row r="247" spans="1:24" x14ac:dyDescent="0.2">
      <c r="A247" s="259">
        <f>IF(A36="","",A36)</f>
        <v>42430</v>
      </c>
      <c r="B247" s="260"/>
      <c r="C247" s="203" t="str">
        <f t="shared" ref="C247:X247" si="0">IF(C36="","",C36)</f>
        <v>Sim</v>
      </c>
      <c r="D247" s="232" t="str">
        <f t="shared" si="0"/>
        <v>Porto Alegre / RS</v>
      </c>
      <c r="E247" s="243" t="str">
        <f t="shared" si="0"/>
        <v/>
      </c>
      <c r="F247" s="233" t="str">
        <f t="shared" si="0"/>
        <v/>
      </c>
      <c r="G247" s="232" t="str">
        <f t="shared" si="0"/>
        <v>reforma restaurante</v>
      </c>
      <c r="H247" s="243" t="str">
        <f t="shared" si="0"/>
        <v/>
      </c>
      <c r="I247" s="243" t="str">
        <f t="shared" si="0"/>
        <v/>
      </c>
      <c r="J247" s="243" t="str">
        <f t="shared" si="0"/>
        <v/>
      </c>
      <c r="K247" s="243" t="str">
        <f t="shared" si="0"/>
        <v/>
      </c>
      <c r="L247" s="243" t="str">
        <f t="shared" si="0"/>
        <v/>
      </c>
      <c r="M247" s="243" t="str">
        <f t="shared" si="0"/>
        <v/>
      </c>
      <c r="N247" s="243" t="str">
        <f t="shared" si="0"/>
        <v/>
      </c>
      <c r="O247" s="243" t="str">
        <f t="shared" si="0"/>
        <v/>
      </c>
      <c r="P247" s="243" t="str">
        <f t="shared" si="0"/>
        <v/>
      </c>
      <c r="Q247" s="243" t="str">
        <f t="shared" si="0"/>
        <v/>
      </c>
      <c r="R247" s="243" t="str">
        <f t="shared" si="0"/>
        <v/>
      </c>
      <c r="S247" s="233"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38" t="s">
        <v>259</v>
      </c>
      <c r="B249" s="240"/>
      <c r="C249" s="238" t="s">
        <v>260</v>
      </c>
      <c r="D249" s="239"/>
      <c r="E249" s="239"/>
      <c r="F249" s="239"/>
      <c r="G249" s="239"/>
      <c r="H249" s="238" t="s">
        <v>262</v>
      </c>
      <c r="I249" s="239"/>
      <c r="J249" s="48" t="s">
        <v>265</v>
      </c>
      <c r="K249" s="238" t="s">
        <v>261</v>
      </c>
      <c r="L249" s="239"/>
      <c r="M249" s="240"/>
      <c r="N249" s="48" t="s">
        <v>266</v>
      </c>
      <c r="O249" s="238" t="s">
        <v>267</v>
      </c>
      <c r="P249" s="239"/>
      <c r="Q249" s="239"/>
      <c r="R249" s="239"/>
      <c r="S249" s="239"/>
      <c r="T249" s="240"/>
      <c r="U249" s="241" t="s">
        <v>263</v>
      </c>
      <c r="V249" s="242"/>
      <c r="W249" s="241" t="s">
        <v>264</v>
      </c>
      <c r="X249" s="242"/>
    </row>
    <row r="250" spans="1:24" ht="12.75" hidden="1" customHeight="1" x14ac:dyDescent="0.2">
      <c r="A250" s="232" t="str">
        <f>IF(A41="","",A41)</f>
        <v/>
      </c>
      <c r="B250" s="233"/>
      <c r="C250" s="232" t="str">
        <f>IF(C41="","",C41)</f>
        <v/>
      </c>
      <c r="D250" s="243"/>
      <c r="E250" s="243" t="str">
        <f>IF(E41="","",E41)</f>
        <v/>
      </c>
      <c r="F250" s="243"/>
      <c r="G250" s="243" t="str">
        <f>IF(G41="","",G41)</f>
        <v/>
      </c>
      <c r="H250" s="234" t="str">
        <f>IF(H41="","",H41)</f>
        <v/>
      </c>
      <c r="I250" s="244" t="str">
        <f>IF(I41="","",I41)</f>
        <v/>
      </c>
      <c r="J250" s="206" t="str">
        <f>IF(J41="","",J41)</f>
        <v>Sim</v>
      </c>
      <c r="K250" s="234" t="str">
        <f>IF(K41="","",K41)</f>
        <v/>
      </c>
      <c r="L250" s="245"/>
      <c r="M250" s="237" t="str">
        <f>IF(M41="","",M41)</f>
        <v/>
      </c>
      <c r="N250" s="207" t="str">
        <f>IF(N41="","",N41)</f>
        <v/>
      </c>
      <c r="O250" s="234" t="str">
        <f>IF(O41="","",O41)</f>
        <v/>
      </c>
      <c r="P250" s="244"/>
      <c r="Q250" s="244" t="str">
        <f>IF(Q41="","",Q41)</f>
        <v/>
      </c>
      <c r="R250" s="245"/>
      <c r="S250" s="245" t="str">
        <f>IF(S41="","",S41)</f>
        <v/>
      </c>
      <c r="T250" s="237"/>
      <c r="U250" s="234" t="str">
        <f>IF(U41="","",U41)</f>
        <v/>
      </c>
      <c r="V250" s="235"/>
      <c r="W250" s="236" t="str">
        <f>IF(W41="","",W41)</f>
        <v/>
      </c>
      <c r="X250" s="237"/>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B58:E58"/>
    <mergeCell ref="H59:K59"/>
    <mergeCell ref="N59:Q59"/>
    <mergeCell ref="T59:W59"/>
    <mergeCell ref="T54:W54"/>
    <mergeCell ref="H54:K54"/>
    <mergeCell ref="N58:Q58"/>
    <mergeCell ref="T58:W58"/>
    <mergeCell ref="H55:K55"/>
    <mergeCell ref="N56:Q56"/>
    <mergeCell ref="T56:W56"/>
    <mergeCell ref="B54:E54"/>
    <mergeCell ref="N57:Q57"/>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H25:K25"/>
    <mergeCell ref="A23:B23"/>
    <mergeCell ref="A41:B41"/>
    <mergeCell ref="B55:E55"/>
    <mergeCell ref="N54:Q54"/>
    <mergeCell ref="N52:Q52"/>
    <mergeCell ref="H52:K52"/>
    <mergeCell ref="T53:W53"/>
    <mergeCell ref="Q23:V23"/>
    <mergeCell ref="W23:X23"/>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A68:X68"/>
    <mergeCell ref="A69:X69"/>
    <mergeCell ref="A78:X78"/>
    <mergeCell ref="A79:X79"/>
    <mergeCell ref="A80:X80"/>
    <mergeCell ref="A71:X71"/>
    <mergeCell ref="A73:X73"/>
    <mergeCell ref="A74:X74"/>
    <mergeCell ref="A75:X75"/>
    <mergeCell ref="A76:X76"/>
    <mergeCell ref="A77:X77"/>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96:X96"/>
    <mergeCell ref="A98:X98"/>
    <mergeCell ref="A100:X100"/>
    <mergeCell ref="A240:B240"/>
    <mergeCell ref="C240:D240"/>
    <mergeCell ref="Q240:V240"/>
    <mergeCell ref="A108:X108"/>
    <mergeCell ref="A112:X112"/>
    <mergeCell ref="A106:X106"/>
    <mergeCell ref="W240:X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241:B241"/>
    <mergeCell ref="C241:D241"/>
    <mergeCell ref="E241:G241"/>
    <mergeCell ref="H241:K241"/>
    <mergeCell ref="L241:P241"/>
    <mergeCell ref="Q241:V241"/>
    <mergeCell ref="W241:X241"/>
    <mergeCell ref="E240:G240"/>
    <mergeCell ref="H240:K240"/>
    <mergeCell ref="L240:P240"/>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50:B250"/>
    <mergeCell ref="U250:V250"/>
    <mergeCell ref="W250:X250"/>
    <mergeCell ref="C249:G249"/>
    <mergeCell ref="A249:B249"/>
    <mergeCell ref="U249:V249"/>
    <mergeCell ref="C250:G250"/>
    <mergeCell ref="H250:I250"/>
    <mergeCell ref="K250:M250"/>
    <mergeCell ref="W249:X249"/>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4"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38" t="s">
        <v>35</v>
      </c>
      <c r="R1" s="339"/>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40" t="s">
        <v>36</v>
      </c>
      <c r="R2" s="341"/>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38" t="s">
        <v>16</v>
      </c>
      <c r="J4" s="240"/>
      <c r="K4" s="238" t="s">
        <v>45</v>
      </c>
      <c r="L4" s="239"/>
      <c r="M4" s="239"/>
      <c r="N4" s="239"/>
      <c r="O4" s="239"/>
      <c r="P4" s="239"/>
      <c r="Q4" s="239"/>
      <c r="R4" s="240"/>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43">
        <f>DADOS!A23</f>
        <v>0</v>
      </c>
      <c r="J5" s="344"/>
      <c r="K5" s="345" t="str">
        <f>DADOS!A26</f>
        <v>PREFEITURA DE LAVRAS DO SUL</v>
      </c>
      <c r="L5" s="346"/>
      <c r="M5" s="346"/>
      <c r="N5" s="346"/>
      <c r="O5" s="346"/>
      <c r="P5" s="346"/>
      <c r="Q5" s="346"/>
      <c r="R5" s="347"/>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38" t="s">
        <v>48</v>
      </c>
      <c r="J7" s="239"/>
      <c r="K7" s="239"/>
      <c r="L7" s="239"/>
      <c r="M7" s="239"/>
      <c r="N7" s="239"/>
      <c r="O7" s="239"/>
      <c r="P7" s="239"/>
      <c r="Q7" s="239"/>
      <c r="R7" s="240"/>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48" t="str">
        <f>DADOS!Q26</f>
        <v>REVITALIZAÇÃO DO BALNEARIO DO PAREDÃO</v>
      </c>
      <c r="J8" s="348"/>
      <c r="K8" s="348"/>
      <c r="L8" s="348"/>
      <c r="M8" s="348"/>
      <c r="N8" s="348"/>
      <c r="O8" s="348"/>
      <c r="P8" s="348"/>
      <c r="Q8" s="348"/>
      <c r="R8" s="348"/>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38" t="s">
        <v>179</v>
      </c>
      <c r="J10" s="239"/>
      <c r="K10" s="239"/>
      <c r="L10" s="239"/>
      <c r="M10" s="239"/>
      <c r="N10" s="239"/>
      <c r="O10" s="239"/>
      <c r="P10" s="239"/>
      <c r="Q10" s="238" t="s">
        <v>142</v>
      </c>
      <c r="R10" s="240"/>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49" t="s">
        <v>172</v>
      </c>
      <c r="J11" s="350"/>
      <c r="K11" s="350"/>
      <c r="L11" s="350"/>
      <c r="M11" s="350"/>
      <c r="N11" s="350"/>
      <c r="O11" s="350"/>
      <c r="P11" s="351"/>
      <c r="Q11" s="352" t="str">
        <f>IF(DADOS!C36&lt;&gt;"",DADOS!C36,"")</f>
        <v>Sim</v>
      </c>
      <c r="R11" s="353"/>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42" t="s">
        <v>180</v>
      </c>
      <c r="J13" s="342"/>
      <c r="K13" s="342"/>
      <c r="L13" s="342"/>
      <c r="M13" s="342"/>
      <c r="N13" s="342"/>
      <c r="O13" s="342"/>
      <c r="P13" s="342"/>
      <c r="Q13" s="334">
        <v>1</v>
      </c>
      <c r="R13" s="334"/>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5" t="s">
        <v>182</v>
      </c>
      <c r="J14" s="335"/>
      <c r="K14" s="335"/>
      <c r="L14" s="335"/>
      <c r="M14" s="335"/>
      <c r="N14" s="335"/>
      <c r="O14" s="335"/>
      <c r="P14" s="335"/>
      <c r="Q14" s="334">
        <v>0.03</v>
      </c>
      <c r="R14" s="334"/>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7" t="s">
        <v>183</v>
      </c>
      <c r="J16" s="337"/>
      <c r="K16" s="337"/>
      <c r="L16" s="337"/>
      <c r="M16" s="337" t="s">
        <v>184</v>
      </c>
      <c r="N16" s="333" t="s">
        <v>185</v>
      </c>
      <c r="O16" s="333" t="s">
        <v>186</v>
      </c>
      <c r="P16" s="336" t="s">
        <v>223</v>
      </c>
      <c r="Q16" s="336"/>
      <c r="R16" s="336"/>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7"/>
      <c r="J17" s="337"/>
      <c r="K17" s="337"/>
      <c r="L17" s="337"/>
      <c r="M17" s="337"/>
      <c r="N17" s="333"/>
      <c r="O17" s="333"/>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2" t="s">
        <v>192</v>
      </c>
      <c r="J23" s="332"/>
      <c r="K23" s="332"/>
      <c r="L23" s="332"/>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0" t="s">
        <v>199</v>
      </c>
      <c r="J27" s="330"/>
      <c r="K27" s="330"/>
      <c r="L27" s="330"/>
      <c r="M27" s="144" t="s">
        <v>200</v>
      </c>
      <c r="N27" s="145">
        <f>ROUND((((1+N18+N19+N20)*(1+N21)*(1+N22)/(1-(N23+N24+N25)))-1),4)</f>
        <v>0.2979</v>
      </c>
      <c r="O27" s="146" t="str">
        <f>IF(Q11&lt;&gt;"Sim","",IF(COUNTIF($O$18:$O$26,"NÃO OK")&gt;0,"NÃO OK","OK"))</f>
        <v>OK</v>
      </c>
      <c r="P27" s="331"/>
      <c r="Q27" s="331"/>
      <c r="R27" s="331"/>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20" t="s">
        <v>206</v>
      </c>
      <c r="J29" s="320"/>
      <c r="K29" s="320"/>
      <c r="L29" s="320"/>
      <c r="M29" s="320"/>
      <c r="N29" s="320"/>
      <c r="O29" s="320"/>
      <c r="P29" s="320"/>
      <c r="Q29" s="320"/>
      <c r="R29" s="320"/>
    </row>
    <row r="30" spans="1:18" ht="27.75" customHeight="1" x14ac:dyDescent="0.25">
      <c r="B30" s="130"/>
      <c r="E30" s="131"/>
      <c r="F30" s="131"/>
      <c r="G30" s="131"/>
      <c r="I30" s="225"/>
      <c r="J30" s="225"/>
      <c r="K30" s="225"/>
      <c r="L30" s="328" t="str">
        <f>IF(Q11="Sim","BDI.DES =","BDI.PAD =")</f>
        <v>BDI.DES =</v>
      </c>
      <c r="M30" s="326" t="str">
        <f>IF($I$11=$A$58,"(1+K1+K2)*(1+K3)","(1+AC + S + R + G)*(1 + DF)*(1+L)")</f>
        <v>(1+AC + S + R + G)*(1 + DF)*(1+L)</v>
      </c>
      <c r="N30" s="326"/>
      <c r="O30" s="326"/>
      <c r="P30" s="324" t="s">
        <v>295</v>
      </c>
      <c r="Q30" s="225"/>
      <c r="R30" s="225"/>
    </row>
    <row r="31" spans="1:18" ht="27.75" customHeight="1" x14ac:dyDescent="0.2">
      <c r="B31" s="130"/>
      <c r="E31" s="131"/>
      <c r="F31" s="131"/>
      <c r="G31" s="131"/>
      <c r="I31" s="225"/>
      <c r="J31" s="225"/>
      <c r="K31" s="225"/>
      <c r="L31" s="328"/>
      <c r="M31" s="327" t="str">
        <f>IF(Q11="Sim","(1-CP-ISS-CRPB)","(1-CP-ISS)")</f>
        <v>(1-CP-ISS-CRPB)</v>
      </c>
      <c r="N31" s="327"/>
      <c r="O31" s="327"/>
      <c r="P31" s="325"/>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2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21"/>
      <c r="K33" s="321"/>
      <c r="L33" s="321"/>
      <c r="M33" s="321"/>
      <c r="N33" s="321"/>
      <c r="O33" s="321"/>
      <c r="P33" s="321"/>
      <c r="Q33" s="321"/>
      <c r="R33" s="321"/>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13"/>
      <c r="J36" s="314"/>
      <c r="K36" s="314"/>
      <c r="L36" s="314"/>
      <c r="M36" s="314"/>
      <c r="N36" s="314"/>
      <c r="O36" s="314"/>
      <c r="P36" s="314"/>
      <c r="Q36" s="314"/>
      <c r="R36" s="315"/>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22" t="s">
        <v>4</v>
      </c>
      <c r="J38" s="322"/>
      <c r="K38" s="322"/>
      <c r="L38" s="322"/>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23">
        <f>DADOS!I26</f>
        <v>0</v>
      </c>
      <c r="J39" s="323"/>
      <c r="K39" s="323"/>
      <c r="L39" s="323"/>
      <c r="N39" s="148"/>
      <c r="P39" s="318">
        <f ca="1">TODAY()</f>
        <v>42544</v>
      </c>
      <c r="Q39" s="318"/>
      <c r="R39" s="318"/>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19"/>
      <c r="J41" s="319"/>
      <c r="K41" s="319"/>
      <c r="L41" s="319"/>
      <c r="M41" s="149"/>
      <c r="N41" s="149"/>
      <c r="O41" s="319"/>
      <c r="P41" s="319"/>
      <c r="Q41" s="319"/>
      <c r="R41" s="319"/>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16" t="s">
        <v>202</v>
      </c>
      <c r="J42" s="316"/>
      <c r="K42" s="316"/>
      <c r="L42" s="316"/>
      <c r="M42" s="150"/>
      <c r="N42" s="150"/>
      <c r="O42" s="316" t="s">
        <v>203</v>
      </c>
      <c r="P42" s="316"/>
      <c r="Q42" s="316"/>
      <c r="R42" s="316"/>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12" t="str">
        <f>DADOS!B52</f>
        <v>Paulo Ricardo Zago Nogara</v>
      </c>
      <c r="K43" s="312"/>
      <c r="L43" s="312"/>
      <c r="M43" s="151"/>
      <c r="N43" s="151"/>
      <c r="O43" s="49" t="s">
        <v>2</v>
      </c>
      <c r="P43" s="317" t="s">
        <v>336</v>
      </c>
      <c r="Q43" s="317"/>
      <c r="R43" s="317"/>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12" t="str">
        <f>DADOS!B53</f>
        <v>Eng. Civil</v>
      </c>
      <c r="K44" s="312"/>
      <c r="L44" s="312"/>
      <c r="M44" s="151"/>
      <c r="N44" s="151"/>
      <c r="O44" s="49" t="s">
        <v>205</v>
      </c>
      <c r="P44" s="317" t="s">
        <v>335</v>
      </c>
      <c r="Q44" s="317"/>
      <c r="R44" s="317"/>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12">
        <f>DADOS!B54</f>
        <v>70065</v>
      </c>
      <c r="K45" s="312"/>
      <c r="L45" s="312"/>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Q1:R1"/>
    <mergeCell ref="Q2:R2"/>
    <mergeCell ref="I4:J4"/>
    <mergeCell ref="K4:R4"/>
    <mergeCell ref="O16:O17"/>
    <mergeCell ref="I13:P13"/>
    <mergeCell ref="I5:J5"/>
    <mergeCell ref="K5:R5"/>
    <mergeCell ref="I7:R7"/>
    <mergeCell ref="I8:R8"/>
    <mergeCell ref="I10:P10"/>
    <mergeCell ref="Q10:R10"/>
    <mergeCell ref="I11:P11"/>
    <mergeCell ref="Q11:R11"/>
    <mergeCell ref="I18:L18"/>
    <mergeCell ref="I19:L19"/>
    <mergeCell ref="I20:L20"/>
    <mergeCell ref="N16:N17"/>
    <mergeCell ref="Q13:R13"/>
    <mergeCell ref="I14:P14"/>
    <mergeCell ref="Q14:R14"/>
    <mergeCell ref="P16:R16"/>
    <mergeCell ref="M16:M17"/>
    <mergeCell ref="I16:L17"/>
    <mergeCell ref="I25:L25"/>
    <mergeCell ref="I26:L26"/>
    <mergeCell ref="I27:L27"/>
    <mergeCell ref="P27:R27"/>
    <mergeCell ref="I21:L21"/>
    <mergeCell ref="I22:L22"/>
    <mergeCell ref="I23:L23"/>
    <mergeCell ref="I24:L24"/>
    <mergeCell ref="I29:R29"/>
    <mergeCell ref="I33:R33"/>
    <mergeCell ref="I38:L38"/>
    <mergeCell ref="I39:L39"/>
    <mergeCell ref="P30:P31"/>
    <mergeCell ref="M30:O30"/>
    <mergeCell ref="M31:O31"/>
    <mergeCell ref="L30:L31"/>
    <mergeCell ref="J45:L45"/>
    <mergeCell ref="I36:R36"/>
    <mergeCell ref="I42:L42"/>
    <mergeCell ref="O42:R42"/>
    <mergeCell ref="J43:L43"/>
    <mergeCell ref="P43:R43"/>
    <mergeCell ref="J44:L44"/>
    <mergeCell ref="P44:R44"/>
    <mergeCell ref="P39:R39"/>
    <mergeCell ref="I41:L41"/>
    <mergeCell ref="O41:R4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opLeftCell="L4" zoomScale="90" zoomScaleNormal="90" zoomScaleSheetLayoutView="70" workbookViewId="0">
      <pane ySplit="12" topLeftCell="A22" activePane="bottomLeft" state="frozen"/>
      <selection activeCell="K4" sqref="K4"/>
      <selection pane="bottomLeft" activeCell="R25" sqref="R25"/>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reforma restaurante</v>
      </c>
      <c r="P15" s="17"/>
      <c r="Q15" s="18"/>
      <c r="R15" s="18"/>
      <c r="S15" s="19"/>
      <c r="T15" s="18"/>
      <c r="U15" s="208">
        <f ca="1">SUMIF(OFFSET(G15,1,0,ROW(U48)-ROW(U15)-1),"&lt;"&amp;G15,OFFSET(U15,1,0,ROW(U48)-ROW(U15)-1))</f>
        <v>57260.729999999989</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16427.189999999999</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c r="Q17" s="160">
        <f>PLQ!E17</f>
        <v>0</v>
      </c>
      <c r="R17" s="161"/>
      <c r="S17" s="162" t="s">
        <v>133</v>
      </c>
      <c r="T17" s="160" t="str">
        <f t="shared" ca="1" si="2"/>
        <v/>
      </c>
      <c r="U17" s="209">
        <f t="shared" ca="1" si="3"/>
        <v>16427.189999999999</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340</v>
      </c>
      <c r="O18" s="158" t="s">
        <v>339</v>
      </c>
      <c r="P18" s="159" t="s">
        <v>341</v>
      </c>
      <c r="Q18" s="160">
        <f>PLQ!E18</f>
        <v>222.44</v>
      </c>
      <c r="R18" s="161">
        <v>32.840000000000003</v>
      </c>
      <c r="S18" s="162" t="s">
        <v>133</v>
      </c>
      <c r="T18" s="160">
        <f ca="1">IF(OR($K18="",$K18="Serviço"),ROUND(ROUND($R18,2)*IF(TipoOrçamento="LICITADO",1,ROUND(1+IF(ISERROR(MATCH($S18,Dados.Lista.BDI,0)),VALUE($S18),INDEX(OFFSET(Dados.Lista.BDI,0,1),MATCH($S18,Dados.Lista.BDI,0),1)),4)),2),"")</f>
        <v>42.62</v>
      </c>
      <c r="U18" s="209">
        <f t="shared" ca="1" si="3"/>
        <v>9480.39</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OK</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t="s">
        <v>12</v>
      </c>
      <c r="N19" s="158" t="s">
        <v>342</v>
      </c>
      <c r="O19" s="158" t="s">
        <v>343</v>
      </c>
      <c r="P19" s="159" t="s">
        <v>341</v>
      </c>
      <c r="Q19" s="160">
        <f>PLQ!E19</f>
        <v>222.44</v>
      </c>
      <c r="R19" s="161">
        <v>24.06</v>
      </c>
      <c r="S19" s="162" t="s">
        <v>133</v>
      </c>
      <c r="T19" s="160">
        <f t="shared" ca="1" si="2"/>
        <v>31.23</v>
      </c>
      <c r="U19" s="209">
        <f t="shared" ca="1" si="3"/>
        <v>6946.8</v>
      </c>
      <c r="V19" s="22" t="str">
        <f t="shared" ca="1" si="11"/>
        <v/>
      </c>
      <c r="W19" s="4" t="str">
        <f ca="1">IF(AND($K19&lt;&gt;"",$K19&lt;&gt;"Serviço",I19&lt;=2),MAX(W$15:OFFSET(W19,-1,0))+1,"")</f>
        <v/>
      </c>
      <c r="AA19" s="4">
        <f ca="1">IF(ISNUMBER(S19),S19,IF(LEFT(S19,3)="BDI",VLOOKUP(S19,DADOS!$E$128:$F$132,2,FALSE),0))</f>
        <v>0.2979</v>
      </c>
    </row>
    <row r="20" spans="1:27" x14ac:dyDescent="0.2">
      <c r="A20" s="23">
        <f t="shared" ca="1" si="4"/>
        <v>2</v>
      </c>
      <c r="B20" s="23">
        <f t="shared" ca="1" si="5"/>
        <v>0</v>
      </c>
      <c r="C20" s="23">
        <f t="shared" ca="1" si="6"/>
        <v>0</v>
      </c>
      <c r="D20" s="23">
        <f t="shared" ca="1" si="7"/>
        <v>0</v>
      </c>
      <c r="E20" s="23">
        <f t="shared" ca="1" si="8"/>
        <v>0</v>
      </c>
      <c r="F20" s="6" t="str">
        <f t="shared" si="9"/>
        <v>UNIDADE</v>
      </c>
      <c r="G20" s="213">
        <f t="shared" si="0"/>
        <v>9.9899999999999993E+22</v>
      </c>
      <c r="H20" s="6" t="str">
        <f t="shared" ca="1" si="10"/>
        <v>OK</v>
      </c>
      <c r="I20" s="23">
        <f t="shared" ca="1" si="12"/>
        <v>1</v>
      </c>
      <c r="J20" s="214">
        <f t="shared" ca="1" si="1"/>
        <v>3000000000000</v>
      </c>
      <c r="K20" s="212" t="s">
        <v>280</v>
      </c>
      <c r="L20" s="165" t="str">
        <f t="shared" ca="1" si="13"/>
        <v>2</v>
      </c>
      <c r="M20" s="158"/>
      <c r="N20" s="158"/>
      <c r="O20" s="158" t="s">
        <v>344</v>
      </c>
      <c r="P20" s="159"/>
      <c r="Q20" s="160">
        <f>PLQ!E20</f>
        <v>0</v>
      </c>
      <c r="R20" s="161"/>
      <c r="S20" s="162" t="s">
        <v>133</v>
      </c>
      <c r="T20" s="160" t="str">
        <f t="shared" ca="1" si="2"/>
        <v/>
      </c>
      <c r="U20" s="209">
        <f t="shared" ca="1" si="3"/>
        <v>28625.52</v>
      </c>
      <c r="V20" s="22" t="str">
        <f t="shared" ca="1" si="11"/>
        <v/>
      </c>
      <c r="W20" s="4">
        <f ca="1">IF(AND($K20&lt;&gt;"",$K20&lt;&gt;"Serviço",I20&lt;=2),MAX(W$15:OFFSET(W20,-1,0))+1,"")</f>
        <v>3</v>
      </c>
      <c r="AA20" s="4">
        <f ca="1">IF(ISNUMBER(S20),S20,IF(LEFT(S20,3)="BDI",VLOOKUP(S20,DADOS!$E$128:$F$132,2,FALSE),0))</f>
        <v>0.2979</v>
      </c>
    </row>
    <row r="21" spans="1:27" x14ac:dyDescent="0.2">
      <c r="A21" s="23">
        <f t="shared" ca="1" si="4"/>
        <v>2</v>
      </c>
      <c r="B21" s="23">
        <f t="shared" ca="1" si="5"/>
        <v>1</v>
      </c>
      <c r="C21" s="23">
        <f t="shared" ca="1" si="6"/>
        <v>0</v>
      </c>
      <c r="D21" s="23">
        <f t="shared" ca="1" si="7"/>
        <v>0</v>
      </c>
      <c r="E21" s="23">
        <f t="shared" ca="1" si="8"/>
        <v>0</v>
      </c>
      <c r="F21" s="6" t="str">
        <f t="shared" si="9"/>
        <v>UNIDADE</v>
      </c>
      <c r="G21" s="213">
        <f t="shared" si="0"/>
        <v>9.9899999999999993E+22</v>
      </c>
      <c r="H21" s="6" t="str">
        <f t="shared" ca="1" si="10"/>
        <v>OK</v>
      </c>
      <c r="I21" s="23">
        <f t="shared" ca="1" si="12"/>
        <v>2</v>
      </c>
      <c r="J21" s="214">
        <f t="shared" ca="1" si="1"/>
        <v>2002000000000</v>
      </c>
      <c r="K21" s="212" t="s">
        <v>281</v>
      </c>
      <c r="L21" s="165" t="str">
        <f t="shared" ca="1" si="13"/>
        <v>2.1</v>
      </c>
      <c r="M21" s="158"/>
      <c r="N21" s="158"/>
      <c r="O21" s="158" t="s">
        <v>344</v>
      </c>
      <c r="P21" s="159"/>
      <c r="Q21" s="160">
        <f>PLQ!E21</f>
        <v>0</v>
      </c>
      <c r="R21" s="161"/>
      <c r="S21" s="162" t="s">
        <v>133</v>
      </c>
      <c r="T21" s="160" t="str">
        <f t="shared" ca="1" si="2"/>
        <v/>
      </c>
      <c r="U21" s="209">
        <f t="shared" ca="1" si="3"/>
        <v>28625.52</v>
      </c>
      <c r="V21" s="22" t="str">
        <f t="shared" ca="1" si="11"/>
        <v/>
      </c>
      <c r="W21" s="4">
        <f ca="1">IF(AND($K21&lt;&gt;"",$K21&lt;&gt;"Serviço",I21&lt;=2),MAX(W$15:OFFSET(W21,-1,0))+1,"")</f>
        <v>4</v>
      </c>
      <c r="AA21" s="4">
        <f ca="1">IF(ISNUMBER(S21),S21,IF(LEFT(S21,3)="BDI",VLOOKUP(S21,DADOS!$E$128:$F$132,2,FALSE),0))</f>
        <v>0.2979</v>
      </c>
    </row>
    <row r="22" spans="1:27" x14ac:dyDescent="0.2">
      <c r="A22" s="23">
        <f t="shared" ca="1" si="4"/>
        <v>2</v>
      </c>
      <c r="B22" s="23">
        <f t="shared" ca="1" si="5"/>
        <v>1</v>
      </c>
      <c r="C22" s="23">
        <f t="shared" ca="1" si="6"/>
        <v>1</v>
      </c>
      <c r="D22" s="23">
        <f t="shared" ca="1" si="7"/>
        <v>0</v>
      </c>
      <c r="E22" s="23">
        <f t="shared" ca="1" si="8"/>
        <v>0</v>
      </c>
      <c r="F22" s="6" t="str">
        <f t="shared" si="9"/>
        <v>OK</v>
      </c>
      <c r="G22" s="213">
        <f t="shared" ca="1" si="0"/>
        <v>2001001000000</v>
      </c>
      <c r="H22" s="6" t="str">
        <f t="shared" ca="1" si="10"/>
        <v>OK</v>
      </c>
      <c r="I22" s="23">
        <f t="shared" ca="1" si="12"/>
        <v>3</v>
      </c>
      <c r="J22" s="214" t="b">
        <f t="shared" si="1"/>
        <v>0</v>
      </c>
      <c r="K22" s="212" t="s">
        <v>284</v>
      </c>
      <c r="L22" s="165" t="str">
        <f t="shared" ca="1" si="13"/>
        <v>2.1.1</v>
      </c>
      <c r="M22" s="158" t="s">
        <v>12</v>
      </c>
      <c r="N22" s="158" t="s">
        <v>372</v>
      </c>
      <c r="O22" s="158" t="s">
        <v>346</v>
      </c>
      <c r="P22" s="159" t="s">
        <v>341</v>
      </c>
      <c r="Q22" s="160">
        <f>PLQ!E22</f>
        <v>247.54</v>
      </c>
      <c r="R22" s="161">
        <v>60.5</v>
      </c>
      <c r="S22" s="162" t="s">
        <v>133</v>
      </c>
      <c r="T22" s="160">
        <f t="shared" ca="1" si="2"/>
        <v>78.52</v>
      </c>
      <c r="U22" s="209">
        <f t="shared" ca="1" si="3"/>
        <v>19436.84</v>
      </c>
      <c r="V22" s="22" t="str">
        <f t="shared" ca="1" si="11"/>
        <v/>
      </c>
      <c r="W22" s="4" t="str">
        <f ca="1">IF(AND($K22&lt;&gt;"",$K22&lt;&gt;"Serviço",I22&lt;=2),MAX(W$15:OFFSET(W22,-1,0))+1,"")</f>
        <v/>
      </c>
      <c r="AA22" s="4">
        <f ca="1">IF(ISNUMBER(S22),S22,IF(LEFT(S22,3)="BDI",VLOOKUP(S22,DADOS!$E$128:$F$132,2,FALSE),0))</f>
        <v>0.2979</v>
      </c>
    </row>
    <row r="23" spans="1:27" x14ac:dyDescent="0.2">
      <c r="A23" s="23">
        <f t="shared" ca="1" si="4"/>
        <v>2</v>
      </c>
      <c r="B23" s="23">
        <f t="shared" ca="1" si="5"/>
        <v>1</v>
      </c>
      <c r="C23" s="23">
        <f t="shared" ca="1" si="6"/>
        <v>2</v>
      </c>
      <c r="D23" s="23">
        <f t="shared" ca="1" si="7"/>
        <v>0</v>
      </c>
      <c r="E23" s="23">
        <f t="shared" ca="1" si="8"/>
        <v>0</v>
      </c>
      <c r="F23" s="6" t="str">
        <f t="shared" si="9"/>
        <v>OK</v>
      </c>
      <c r="G23" s="213">
        <f t="shared" ca="1" si="0"/>
        <v>2001002000000</v>
      </c>
      <c r="H23" s="6" t="str">
        <f t="shared" ca="1" si="10"/>
        <v>OK</v>
      </c>
      <c r="I23" s="23">
        <f t="shared" ca="1" si="12"/>
        <v>3</v>
      </c>
      <c r="J23" s="214" t="b">
        <f t="shared" si="1"/>
        <v>0</v>
      </c>
      <c r="K23" s="212" t="s">
        <v>284</v>
      </c>
      <c r="L23" s="165" t="str">
        <f t="shared" ca="1" si="13"/>
        <v>2.1.2</v>
      </c>
      <c r="M23" s="158" t="s">
        <v>12</v>
      </c>
      <c r="N23" s="158" t="s">
        <v>345</v>
      </c>
      <c r="O23" s="158" t="s">
        <v>347</v>
      </c>
      <c r="P23" s="159" t="s">
        <v>341</v>
      </c>
      <c r="Q23" s="160">
        <f>PLQ!E23</f>
        <v>247.54</v>
      </c>
      <c r="R23" s="161">
        <v>28.6</v>
      </c>
      <c r="S23" s="162" t="s">
        <v>133</v>
      </c>
      <c r="T23" s="160">
        <f t="shared" ca="1" si="2"/>
        <v>37.119999999999997</v>
      </c>
      <c r="U23" s="209">
        <f t="shared" ca="1" si="3"/>
        <v>9188.68</v>
      </c>
      <c r="V23" s="22" t="str">
        <f t="shared" ca="1" si="11"/>
        <v/>
      </c>
      <c r="W23" s="4" t="str">
        <f ca="1">IF(AND($K23&lt;&gt;"",$K23&lt;&gt;"Serviço",I23&lt;=2),MAX(W$15:OFFSET(W23,-1,0))+1,"")</f>
        <v/>
      </c>
      <c r="AA23" s="4">
        <f ca="1">IF(ISNUMBER(S23),S23,IF(LEFT(S23,3)="BDI",VLOOKUP(S23,DADOS!$E$128:$F$132,2,FALSE),0))</f>
        <v>0.2979</v>
      </c>
    </row>
    <row r="24" spans="1:27" x14ac:dyDescent="0.2">
      <c r="A24" s="23">
        <f t="shared" ca="1" si="4"/>
        <v>3</v>
      </c>
      <c r="B24" s="23">
        <f t="shared" ca="1" si="5"/>
        <v>0</v>
      </c>
      <c r="C24" s="23">
        <f t="shared" ca="1" si="6"/>
        <v>0</v>
      </c>
      <c r="D24" s="23">
        <f t="shared" ca="1" si="7"/>
        <v>0</v>
      </c>
      <c r="E24" s="23">
        <f t="shared" ca="1" si="8"/>
        <v>0</v>
      </c>
      <c r="F24" s="6" t="str">
        <f t="shared" si="9"/>
        <v>UNIDADE</v>
      </c>
      <c r="G24" s="213">
        <f t="shared" si="0"/>
        <v>9.9899999999999993E+22</v>
      </c>
      <c r="H24" s="6" t="str">
        <f t="shared" ca="1" si="10"/>
        <v>OK</v>
      </c>
      <c r="I24" s="23">
        <f t="shared" ca="1" si="12"/>
        <v>1</v>
      </c>
      <c r="J24" s="214">
        <f t="shared" ca="1" si="1"/>
        <v>4000000000000</v>
      </c>
      <c r="K24" s="212" t="s">
        <v>280</v>
      </c>
      <c r="L24" s="165" t="str">
        <f t="shared" ca="1" si="13"/>
        <v>3</v>
      </c>
      <c r="M24" s="158"/>
      <c r="N24" s="158"/>
      <c r="O24" s="158" t="s">
        <v>348</v>
      </c>
      <c r="P24" s="159"/>
      <c r="Q24" s="160">
        <f>PLQ!E24</f>
        <v>0</v>
      </c>
      <c r="R24" s="161"/>
      <c r="S24" s="162" t="s">
        <v>133</v>
      </c>
      <c r="T24" s="160" t="str">
        <f t="shared" ca="1" si="2"/>
        <v/>
      </c>
      <c r="U24" s="209">
        <f t="shared" ca="1" si="3"/>
        <v>4456.71</v>
      </c>
      <c r="V24" s="22" t="str">
        <f t="shared" ca="1" si="11"/>
        <v/>
      </c>
      <c r="W24" s="4">
        <f ca="1">IF(AND($K24&lt;&gt;"",$K24&lt;&gt;"Serviço",I24&lt;=2),MAX(W$15:OFFSET(W24,-1,0))+1,"")</f>
        <v>5</v>
      </c>
      <c r="AA24" s="4">
        <f ca="1">IF(ISNUMBER(S24),S24,IF(LEFT(S24,3)="BDI",VLOOKUP(S24,DADOS!$E$128:$F$132,2,FALSE),0))</f>
        <v>0.2979</v>
      </c>
    </row>
    <row r="25" spans="1:27" x14ac:dyDescent="0.2">
      <c r="A25" s="23">
        <f t="shared" ca="1" si="4"/>
        <v>3</v>
      </c>
      <c r="B25" s="23">
        <f t="shared" ca="1" si="5"/>
        <v>1</v>
      </c>
      <c r="C25" s="23">
        <f t="shared" ca="1" si="6"/>
        <v>0</v>
      </c>
      <c r="D25" s="23">
        <f t="shared" ca="1" si="7"/>
        <v>0</v>
      </c>
      <c r="E25" s="23">
        <f t="shared" ca="1" si="8"/>
        <v>0</v>
      </c>
      <c r="F25" s="6" t="str">
        <f t="shared" si="9"/>
        <v>UNIDADE</v>
      </c>
      <c r="G25" s="213">
        <f t="shared" si="0"/>
        <v>9.9899999999999993E+22</v>
      </c>
      <c r="H25" s="6" t="str">
        <f t="shared" ca="1" si="10"/>
        <v>OK</v>
      </c>
      <c r="I25" s="23">
        <f t="shared" ca="1" si="12"/>
        <v>2</v>
      </c>
      <c r="J25" s="214">
        <f t="shared" ca="1" si="1"/>
        <v>3002000000000</v>
      </c>
      <c r="K25" s="212" t="s">
        <v>281</v>
      </c>
      <c r="L25" s="165" t="str">
        <f t="shared" ca="1" si="13"/>
        <v>3.1</v>
      </c>
      <c r="M25" s="158"/>
      <c r="N25" s="158"/>
      <c r="O25" s="158" t="s">
        <v>348</v>
      </c>
      <c r="P25" s="159"/>
      <c r="Q25" s="160">
        <f>PLQ!E25</f>
        <v>0</v>
      </c>
      <c r="R25" s="161"/>
      <c r="S25" s="162" t="s">
        <v>133</v>
      </c>
      <c r="T25" s="160" t="str">
        <f t="shared" ca="1" si="2"/>
        <v/>
      </c>
      <c r="U25" s="209">
        <f t="shared" ca="1" si="3"/>
        <v>4456.71</v>
      </c>
      <c r="V25" s="22" t="str">
        <f t="shared" ca="1" si="11"/>
        <v/>
      </c>
      <c r="W25" s="4">
        <f ca="1">IF(AND($K25&lt;&gt;"",$K25&lt;&gt;"Serviço",I25&lt;=2),MAX(W$15:OFFSET(W25,-1,0))+1,"")</f>
        <v>6</v>
      </c>
      <c r="AA25" s="4">
        <f ca="1">IF(ISNUMBER(S25),S25,IF(LEFT(S25,3)="BDI",VLOOKUP(S25,DADOS!$E$128:$F$132,2,FALSE),0))</f>
        <v>0.2979</v>
      </c>
    </row>
    <row r="26" spans="1:27" x14ac:dyDescent="0.2">
      <c r="A26" s="23">
        <f t="shared" ca="1" si="4"/>
        <v>3</v>
      </c>
      <c r="B26" s="23">
        <f t="shared" ca="1" si="5"/>
        <v>1</v>
      </c>
      <c r="C26" s="23">
        <f t="shared" ca="1" si="6"/>
        <v>1</v>
      </c>
      <c r="D26" s="23">
        <f t="shared" ca="1" si="7"/>
        <v>0</v>
      </c>
      <c r="E26" s="23">
        <f t="shared" ca="1" si="8"/>
        <v>0</v>
      </c>
      <c r="F26" s="6" t="str">
        <f t="shared" si="9"/>
        <v>OK</v>
      </c>
      <c r="G26" s="213">
        <f t="shared" ca="1" si="0"/>
        <v>3001001000000</v>
      </c>
      <c r="H26" s="6" t="str">
        <f t="shared" ca="1" si="10"/>
        <v>OK</v>
      </c>
      <c r="I26" s="23">
        <f t="shared" ca="1" si="12"/>
        <v>3</v>
      </c>
      <c r="J26" s="214" t="b">
        <f t="shared" si="1"/>
        <v>0</v>
      </c>
      <c r="K26" s="212" t="s">
        <v>284</v>
      </c>
      <c r="L26" s="165" t="str">
        <f t="shared" ca="1" si="13"/>
        <v>3.1.1</v>
      </c>
      <c r="M26" s="158" t="s">
        <v>12</v>
      </c>
      <c r="N26" s="158" t="s">
        <v>349</v>
      </c>
      <c r="O26" s="158" t="s">
        <v>350</v>
      </c>
      <c r="P26" s="159" t="s">
        <v>351</v>
      </c>
      <c r="Q26" s="160">
        <f>PLQ!E26</f>
        <v>3</v>
      </c>
      <c r="R26" s="161">
        <v>291.49</v>
      </c>
      <c r="S26" s="162" t="s">
        <v>133</v>
      </c>
      <c r="T26" s="160">
        <f t="shared" ca="1" si="2"/>
        <v>378.32</v>
      </c>
      <c r="U26" s="209">
        <f t="shared" ca="1" si="3"/>
        <v>1134.96</v>
      </c>
      <c r="V26" s="22" t="str">
        <f t="shared" ca="1" si="11"/>
        <v/>
      </c>
      <c r="W26" s="4" t="str">
        <f ca="1">IF(AND($K26&lt;&gt;"",$K26&lt;&gt;"Serviço",I26&lt;=2),MAX(W$15:OFFSET(W26,-1,0))+1,"")</f>
        <v/>
      </c>
      <c r="AA26" s="4">
        <f ca="1">IF(ISNUMBER(S26),S26,IF(LEFT(S26,3)="BDI",VLOOKUP(S26,DADOS!$E$128:$F$132,2,FALSE),0))</f>
        <v>0.2979</v>
      </c>
    </row>
    <row r="27" spans="1:27" x14ac:dyDescent="0.2">
      <c r="A27" s="23">
        <f t="shared" ca="1" si="4"/>
        <v>3</v>
      </c>
      <c r="B27" s="23">
        <f t="shared" ca="1" si="5"/>
        <v>1</v>
      </c>
      <c r="C27" s="23">
        <f t="shared" ca="1" si="6"/>
        <v>2</v>
      </c>
      <c r="D27" s="23">
        <f t="shared" ca="1" si="7"/>
        <v>0</v>
      </c>
      <c r="E27" s="23">
        <f t="shared" ca="1" si="8"/>
        <v>0</v>
      </c>
      <c r="F27" s="6" t="str">
        <f t="shared" si="9"/>
        <v>OK</v>
      </c>
      <c r="G27" s="213">
        <f t="shared" ca="1" si="0"/>
        <v>3001002000000</v>
      </c>
      <c r="H27" s="6" t="str">
        <f t="shared" ca="1" si="10"/>
        <v>OK</v>
      </c>
      <c r="I27" s="23">
        <f t="shared" ca="1" si="12"/>
        <v>3</v>
      </c>
      <c r="J27" s="214" t="b">
        <f t="shared" si="1"/>
        <v>0</v>
      </c>
      <c r="K27" s="212" t="s">
        <v>284</v>
      </c>
      <c r="L27" s="165" t="str">
        <f t="shared" ca="1" si="13"/>
        <v>3.1.2</v>
      </c>
      <c r="M27" s="158" t="s">
        <v>12</v>
      </c>
      <c r="N27" s="158" t="s">
        <v>352</v>
      </c>
      <c r="O27" s="158" t="s">
        <v>353</v>
      </c>
      <c r="P27" s="159" t="s">
        <v>341</v>
      </c>
      <c r="Q27" s="160">
        <f>PLQ!E27</f>
        <v>10.8</v>
      </c>
      <c r="R27" s="161">
        <v>188.1</v>
      </c>
      <c r="S27" s="162" t="s">
        <v>133</v>
      </c>
      <c r="T27" s="160">
        <f t="shared" ca="1" si="2"/>
        <v>244.13</v>
      </c>
      <c r="U27" s="209">
        <f t="shared" ca="1" si="3"/>
        <v>2636.6</v>
      </c>
      <c r="V27" s="22" t="str">
        <f t="shared" ca="1" si="11"/>
        <v/>
      </c>
      <c r="W27" s="4" t="str">
        <f ca="1">IF(AND($K27&lt;&gt;"",$K27&lt;&gt;"Serviço",I27&lt;=2),MAX(W$15:OFFSET(W27,-1,0))+1,"")</f>
        <v/>
      </c>
      <c r="AA27" s="4">
        <f ca="1">IF(ISNUMBER(S27),S27,IF(LEFT(S27,3)="BDI",VLOOKUP(S27,DADOS!$E$128:$F$132,2,FALSE),0))</f>
        <v>0.2979</v>
      </c>
    </row>
    <row r="28" spans="1:27" x14ac:dyDescent="0.2">
      <c r="A28" s="23">
        <f t="shared" ca="1" si="4"/>
        <v>3</v>
      </c>
      <c r="B28" s="23">
        <f t="shared" ca="1" si="5"/>
        <v>1</v>
      </c>
      <c r="C28" s="23">
        <f t="shared" ca="1" si="6"/>
        <v>3</v>
      </c>
      <c r="D28" s="23">
        <f t="shared" ca="1" si="7"/>
        <v>0</v>
      </c>
      <c r="E28" s="23">
        <f t="shared" ca="1" si="8"/>
        <v>0</v>
      </c>
      <c r="F28" s="6" t="str">
        <f t="shared" si="9"/>
        <v>OK</v>
      </c>
      <c r="G28" s="213">
        <f t="shared" ca="1" si="0"/>
        <v>3001003000000</v>
      </c>
      <c r="H28" s="6" t="str">
        <f t="shared" ca="1" si="10"/>
        <v>OK</v>
      </c>
      <c r="I28" s="23">
        <f t="shared" ca="1" si="12"/>
        <v>3</v>
      </c>
      <c r="J28" s="214" t="b">
        <f t="shared" si="1"/>
        <v>0</v>
      </c>
      <c r="K28" s="212" t="s">
        <v>284</v>
      </c>
      <c r="L28" s="165" t="str">
        <f t="shared" ca="1" si="13"/>
        <v>3.1.3</v>
      </c>
      <c r="M28" s="158" t="s">
        <v>12</v>
      </c>
      <c r="N28" s="158" t="s">
        <v>354</v>
      </c>
      <c r="O28" s="158" t="s">
        <v>355</v>
      </c>
      <c r="P28" s="159" t="s">
        <v>341</v>
      </c>
      <c r="Q28" s="160">
        <f>PLQ!E28</f>
        <v>10.8</v>
      </c>
      <c r="R28" s="161">
        <v>48.88</v>
      </c>
      <c r="S28" s="162" t="s">
        <v>133</v>
      </c>
      <c r="T28" s="160">
        <f t="shared" ca="1" si="2"/>
        <v>63.44</v>
      </c>
      <c r="U28" s="209">
        <f t="shared" ca="1" si="3"/>
        <v>685.15</v>
      </c>
      <c r="V28" s="22" t="str">
        <f t="shared" ca="1" si="11"/>
        <v/>
      </c>
      <c r="W28" s="4" t="str">
        <f ca="1">IF(AND($K28&lt;&gt;"",$K28&lt;&gt;"Serviço",I28&lt;=2),MAX(W$15:OFFSET(W28,-1,0))+1,"")</f>
        <v/>
      </c>
      <c r="AA28" s="4">
        <f ca="1">IF(ISNUMBER(S28),S28,IF(LEFT(S28,3)="BDI",VLOOKUP(S28,DADOS!$E$128:$F$132,2,FALSE),0))</f>
        <v>0.2979</v>
      </c>
    </row>
    <row r="29" spans="1:27" x14ac:dyDescent="0.2">
      <c r="A29" s="23">
        <f t="shared" ca="1" si="4"/>
        <v>4</v>
      </c>
      <c r="B29" s="23">
        <f t="shared" ca="1" si="5"/>
        <v>0</v>
      </c>
      <c r="C29" s="23">
        <f t="shared" ca="1" si="6"/>
        <v>0</v>
      </c>
      <c r="D29" s="23">
        <f t="shared" ca="1" si="7"/>
        <v>0</v>
      </c>
      <c r="E29" s="23">
        <f t="shared" ca="1" si="8"/>
        <v>0</v>
      </c>
      <c r="F29" s="6" t="str">
        <f t="shared" si="9"/>
        <v>UNIDADE</v>
      </c>
      <c r="G29" s="213">
        <f t="shared" si="0"/>
        <v>9.9899999999999993E+22</v>
      </c>
      <c r="H29" s="6" t="str">
        <f t="shared" ca="1" si="10"/>
        <v>OK</v>
      </c>
      <c r="I29" s="23">
        <f t="shared" ca="1" si="12"/>
        <v>1</v>
      </c>
      <c r="J29" s="214">
        <f t="shared" ca="1" si="1"/>
        <v>5000000000000</v>
      </c>
      <c r="K29" s="212" t="s">
        <v>280</v>
      </c>
      <c r="L29" s="165" t="str">
        <f t="shared" ca="1" si="13"/>
        <v>4</v>
      </c>
      <c r="M29" s="158"/>
      <c r="N29" s="158"/>
      <c r="O29" s="158" t="s">
        <v>356</v>
      </c>
      <c r="P29" s="159"/>
      <c r="Q29" s="160">
        <f>PLQ!E29</f>
        <v>0</v>
      </c>
      <c r="R29" s="161"/>
      <c r="S29" s="162" t="s">
        <v>133</v>
      </c>
      <c r="T29" s="160" t="str">
        <f t="shared" ca="1" si="2"/>
        <v/>
      </c>
      <c r="U29" s="209">
        <f t="shared" ca="1" si="3"/>
        <v>1603.8</v>
      </c>
      <c r="V29" s="22" t="str">
        <f t="shared" ca="1" si="11"/>
        <v/>
      </c>
      <c r="W29" s="4">
        <f ca="1">IF(AND($K29&lt;&gt;"",$K29&lt;&gt;"Serviço",I29&lt;=2),MAX(W$15:OFFSET(W29,-1,0))+1,"")</f>
        <v>7</v>
      </c>
      <c r="AA29" s="4">
        <f ca="1">IF(ISNUMBER(S29),S29,IF(LEFT(S29,3)="BDI",VLOOKUP(S29,DADOS!$E$128:$F$132,2,FALSE),0))</f>
        <v>0.2979</v>
      </c>
    </row>
    <row r="30" spans="1:27" x14ac:dyDescent="0.2">
      <c r="A30" s="23">
        <f t="shared" ca="1" si="4"/>
        <v>4</v>
      </c>
      <c r="B30" s="23">
        <f t="shared" ca="1" si="5"/>
        <v>1</v>
      </c>
      <c r="C30" s="23">
        <f t="shared" ca="1" si="6"/>
        <v>0</v>
      </c>
      <c r="D30" s="23">
        <f t="shared" ca="1" si="7"/>
        <v>0</v>
      </c>
      <c r="E30" s="23">
        <f t="shared" ca="1" si="8"/>
        <v>0</v>
      </c>
      <c r="F30" s="6" t="str">
        <f t="shared" si="9"/>
        <v>UNIDADE</v>
      </c>
      <c r="G30" s="213">
        <f t="shared" si="0"/>
        <v>9.9899999999999993E+22</v>
      </c>
      <c r="H30" s="6" t="str">
        <f t="shared" ca="1" si="10"/>
        <v>OK</v>
      </c>
      <c r="I30" s="23">
        <f t="shared" ca="1" si="12"/>
        <v>2</v>
      </c>
      <c r="J30" s="214">
        <f t="shared" ca="1" si="1"/>
        <v>4002000000000</v>
      </c>
      <c r="K30" s="212" t="s">
        <v>281</v>
      </c>
      <c r="L30" s="165" t="str">
        <f t="shared" ca="1" si="13"/>
        <v>4.1</v>
      </c>
      <c r="M30" s="158"/>
      <c r="N30" s="158"/>
      <c r="O30" s="158" t="s">
        <v>356</v>
      </c>
      <c r="P30" s="159"/>
      <c r="Q30" s="160">
        <f>PLQ!E30</f>
        <v>0</v>
      </c>
      <c r="R30" s="161"/>
      <c r="S30" s="162" t="s">
        <v>133</v>
      </c>
      <c r="T30" s="160" t="str">
        <f t="shared" ca="1" si="2"/>
        <v/>
      </c>
      <c r="U30" s="209">
        <f t="shared" ca="1" si="3"/>
        <v>1603.8</v>
      </c>
      <c r="V30" s="22" t="str">
        <f t="shared" ca="1" si="11"/>
        <v/>
      </c>
      <c r="W30" s="4">
        <f ca="1">IF(AND($K30&lt;&gt;"",$K30&lt;&gt;"Serviço",I30&lt;=2),MAX(W$15:OFFSET(W30,-1,0))+1,"")</f>
        <v>8</v>
      </c>
      <c r="AA30" s="4">
        <f ca="1">IF(ISNUMBER(S30),S30,IF(LEFT(S30,3)="BDI",VLOOKUP(S30,DADOS!$E$128:$F$132,2,FALSE),0))</f>
        <v>0.2979</v>
      </c>
    </row>
    <row r="31" spans="1:27" x14ac:dyDescent="0.2">
      <c r="A31" s="23">
        <f t="shared" ca="1" si="4"/>
        <v>4</v>
      </c>
      <c r="B31" s="23">
        <f t="shared" ca="1" si="5"/>
        <v>1</v>
      </c>
      <c r="C31" s="23">
        <f t="shared" ca="1" si="6"/>
        <v>1</v>
      </c>
      <c r="D31" s="23">
        <f t="shared" ca="1" si="7"/>
        <v>0</v>
      </c>
      <c r="E31" s="23">
        <f t="shared" ca="1" si="8"/>
        <v>0</v>
      </c>
      <c r="F31" s="6" t="str">
        <f t="shared" si="9"/>
        <v>OK</v>
      </c>
      <c r="G31" s="213">
        <f t="shared" ca="1" si="0"/>
        <v>4001001000000</v>
      </c>
      <c r="H31" s="6" t="str">
        <f t="shared" ca="1" si="10"/>
        <v>OK</v>
      </c>
      <c r="I31" s="23">
        <f t="shared" ca="1" si="12"/>
        <v>3</v>
      </c>
      <c r="J31" s="214" t="b">
        <f t="shared" si="1"/>
        <v>0</v>
      </c>
      <c r="K31" s="212" t="s">
        <v>284</v>
      </c>
      <c r="L31" s="165" t="str">
        <f t="shared" ca="1" si="13"/>
        <v>4.1.1</v>
      </c>
      <c r="M31" s="158" t="s">
        <v>12</v>
      </c>
      <c r="N31" s="158" t="s">
        <v>358</v>
      </c>
      <c r="O31" s="158" t="s">
        <v>357</v>
      </c>
      <c r="P31" s="159" t="s">
        <v>341</v>
      </c>
      <c r="Q31" s="160">
        <f>PLQ!E31</f>
        <v>30</v>
      </c>
      <c r="R31" s="161">
        <v>16.71</v>
      </c>
      <c r="S31" s="162" t="s">
        <v>133</v>
      </c>
      <c r="T31" s="160">
        <f t="shared" ca="1" si="2"/>
        <v>21.69</v>
      </c>
      <c r="U31" s="209">
        <f t="shared" ca="1" si="3"/>
        <v>650.70000000000005</v>
      </c>
      <c r="V31" s="22" t="str">
        <f t="shared" ca="1" si="11"/>
        <v/>
      </c>
      <c r="W31" s="4" t="str">
        <f ca="1">IF(AND($K31&lt;&gt;"",$K31&lt;&gt;"Serviço",I31&lt;=2),MAX(W$15:OFFSET(W31,-1,0))+1,"")</f>
        <v/>
      </c>
      <c r="AA31" s="4">
        <f ca="1">IF(ISNUMBER(S31),S31,IF(LEFT(S31,3)="BDI",VLOOKUP(S31,DADOS!$E$128:$F$132,2,FALSE),0))</f>
        <v>0.2979</v>
      </c>
    </row>
    <row r="32" spans="1:27" x14ac:dyDescent="0.2">
      <c r="A32" s="23">
        <f t="shared" ca="1" si="4"/>
        <v>4</v>
      </c>
      <c r="B32" s="23">
        <f t="shared" ca="1" si="5"/>
        <v>1</v>
      </c>
      <c r="C32" s="23">
        <f t="shared" ca="1" si="6"/>
        <v>2</v>
      </c>
      <c r="D32" s="23">
        <f t="shared" ca="1" si="7"/>
        <v>0</v>
      </c>
      <c r="E32" s="23">
        <f t="shared" ca="1" si="8"/>
        <v>0</v>
      </c>
      <c r="F32" s="6" t="str">
        <f t="shared" si="9"/>
        <v>OK</v>
      </c>
      <c r="G32" s="213">
        <f t="shared" ca="1" si="0"/>
        <v>4001002000000</v>
      </c>
      <c r="H32" s="6" t="str">
        <f t="shared" ca="1" si="10"/>
        <v>OK</v>
      </c>
      <c r="I32" s="23">
        <f t="shared" ca="1" si="12"/>
        <v>3</v>
      </c>
      <c r="J32" s="214" t="b">
        <f t="shared" si="1"/>
        <v>0</v>
      </c>
      <c r="K32" s="212" t="s">
        <v>284</v>
      </c>
      <c r="L32" s="165" t="str">
        <f t="shared" ca="1" si="13"/>
        <v>4.1.2</v>
      </c>
      <c r="M32" s="158" t="s">
        <v>12</v>
      </c>
      <c r="N32" s="158" t="s">
        <v>359</v>
      </c>
      <c r="O32" s="158" t="s">
        <v>360</v>
      </c>
      <c r="P32" s="159" t="s">
        <v>341</v>
      </c>
      <c r="Q32" s="160">
        <f>PLQ!E32</f>
        <v>30</v>
      </c>
      <c r="R32" s="161">
        <v>24.48</v>
      </c>
      <c r="S32" s="162" t="s">
        <v>133</v>
      </c>
      <c r="T32" s="160">
        <f t="shared" ca="1" si="2"/>
        <v>31.77</v>
      </c>
      <c r="U32" s="209">
        <f t="shared" ca="1" si="3"/>
        <v>953.1</v>
      </c>
      <c r="V32" s="22" t="str">
        <f t="shared" ca="1" si="11"/>
        <v/>
      </c>
      <c r="W32" s="4" t="str">
        <f ca="1">IF(AND($K32&lt;&gt;"",$K32&lt;&gt;"Serviço",I32&lt;=2),MAX(W$15:OFFSET(W32,-1,0))+1,"")</f>
        <v/>
      </c>
      <c r="AA32" s="4">
        <f ca="1">IF(ISNUMBER(S32),S32,IF(LEFT(S32,3)="BDI",VLOOKUP(S32,DADOS!$E$128:$F$132,2,FALSE),0))</f>
        <v>0.2979</v>
      </c>
    </row>
    <row r="33" spans="1:27" x14ac:dyDescent="0.2">
      <c r="A33" s="23">
        <f t="shared" ca="1" si="4"/>
        <v>5</v>
      </c>
      <c r="B33" s="23">
        <f t="shared" ca="1" si="5"/>
        <v>0</v>
      </c>
      <c r="C33" s="23">
        <f t="shared" ca="1" si="6"/>
        <v>0</v>
      </c>
      <c r="D33" s="23">
        <f t="shared" ca="1" si="7"/>
        <v>0</v>
      </c>
      <c r="E33" s="23">
        <f t="shared" ca="1" si="8"/>
        <v>0</v>
      </c>
      <c r="F33" s="6" t="str">
        <f t="shared" si="9"/>
        <v>UNIDADE</v>
      </c>
      <c r="G33" s="213">
        <f t="shared" si="0"/>
        <v>9.9899999999999993E+22</v>
      </c>
      <c r="H33" s="6" t="str">
        <f t="shared" ca="1" si="10"/>
        <v>OK</v>
      </c>
      <c r="I33" s="23">
        <f t="shared" ca="1" si="12"/>
        <v>1</v>
      </c>
      <c r="J33" s="214">
        <f t="shared" ca="1" si="1"/>
        <v>6000000000000</v>
      </c>
      <c r="K33" s="212" t="s">
        <v>280</v>
      </c>
      <c r="L33" s="165" t="str">
        <f t="shared" ca="1" si="13"/>
        <v>5</v>
      </c>
      <c r="M33" s="158"/>
      <c r="N33" s="158"/>
      <c r="O33" s="158" t="s">
        <v>361</v>
      </c>
      <c r="P33" s="159"/>
      <c r="Q33" s="160">
        <f>PLQ!E33</f>
        <v>0</v>
      </c>
      <c r="R33" s="161"/>
      <c r="S33" s="162" t="s">
        <v>133</v>
      </c>
      <c r="T33" s="160" t="str">
        <f t="shared" ca="1" si="2"/>
        <v/>
      </c>
      <c r="U33" s="209">
        <f t="shared" ca="1" si="3"/>
        <v>1604.49</v>
      </c>
      <c r="V33" s="22" t="str">
        <f t="shared" ca="1" si="11"/>
        <v/>
      </c>
      <c r="W33" s="4">
        <f ca="1">IF(AND($K33&lt;&gt;"",$K33&lt;&gt;"Serviço",I33&lt;=2),MAX(W$15:OFFSET(W33,-1,0))+1,"")</f>
        <v>9</v>
      </c>
      <c r="AA33" s="4">
        <f ca="1">IF(ISNUMBER(S33),S33,IF(LEFT(S33,3)="BDI",VLOOKUP(S33,DADOS!$E$128:$F$132,2,FALSE),0))</f>
        <v>0.2979</v>
      </c>
    </row>
    <row r="34" spans="1:27" x14ac:dyDescent="0.2">
      <c r="A34" s="23">
        <f t="shared" ca="1" si="4"/>
        <v>5</v>
      </c>
      <c r="B34" s="23">
        <f t="shared" ca="1" si="5"/>
        <v>1</v>
      </c>
      <c r="C34" s="23">
        <f t="shared" ca="1" si="6"/>
        <v>0</v>
      </c>
      <c r="D34" s="23">
        <f t="shared" ca="1" si="7"/>
        <v>0</v>
      </c>
      <c r="E34" s="23">
        <f t="shared" ca="1" si="8"/>
        <v>0</v>
      </c>
      <c r="F34" s="6" t="str">
        <f t="shared" si="9"/>
        <v>UNIDADE</v>
      </c>
      <c r="G34" s="213">
        <f t="shared" si="0"/>
        <v>9.9899999999999993E+22</v>
      </c>
      <c r="H34" s="6" t="str">
        <f t="shared" ca="1" si="10"/>
        <v>OK</v>
      </c>
      <c r="I34" s="23">
        <f t="shared" ca="1" si="12"/>
        <v>2</v>
      </c>
      <c r="J34" s="214">
        <f t="shared" ca="1" si="1"/>
        <v>5002000000000</v>
      </c>
      <c r="K34" s="212" t="s">
        <v>281</v>
      </c>
      <c r="L34" s="165" t="str">
        <f t="shared" ca="1" si="13"/>
        <v>5.1</v>
      </c>
      <c r="M34" s="158"/>
      <c r="N34" s="158"/>
      <c r="O34" s="158" t="s">
        <v>361</v>
      </c>
      <c r="P34" s="159"/>
      <c r="Q34" s="160">
        <f>PLQ!E34</f>
        <v>0</v>
      </c>
      <c r="R34" s="161"/>
      <c r="S34" s="162" t="s">
        <v>133</v>
      </c>
      <c r="T34" s="160" t="str">
        <f t="shared" ca="1" si="2"/>
        <v/>
      </c>
      <c r="U34" s="209">
        <f t="shared" ca="1" si="3"/>
        <v>1604.49</v>
      </c>
      <c r="V34" s="22" t="str">
        <f t="shared" ca="1" si="11"/>
        <v/>
      </c>
      <c r="W34" s="4">
        <f ca="1">IF(AND($K34&lt;&gt;"",$K34&lt;&gt;"Serviço",I34&lt;=2),MAX(W$15:OFFSET(W34,-1,0))+1,"")</f>
        <v>10</v>
      </c>
      <c r="AA34" s="4">
        <f ca="1">IF(ISNUMBER(S34),S34,IF(LEFT(S34,3)="BDI",VLOOKUP(S34,DADOS!$E$128:$F$132,2,FALSE),0))</f>
        <v>0.2979</v>
      </c>
    </row>
    <row r="35" spans="1:27" x14ac:dyDescent="0.2">
      <c r="A35" s="23">
        <f t="shared" ca="1" si="4"/>
        <v>5</v>
      </c>
      <c r="B35" s="23">
        <f t="shared" ca="1" si="5"/>
        <v>1</v>
      </c>
      <c r="C35" s="23">
        <f t="shared" ca="1" si="6"/>
        <v>1</v>
      </c>
      <c r="D35" s="23">
        <f t="shared" ca="1" si="7"/>
        <v>0</v>
      </c>
      <c r="E35" s="23">
        <f t="shared" ca="1" si="8"/>
        <v>0</v>
      </c>
      <c r="F35" s="6" t="str">
        <f t="shared" si="9"/>
        <v>OK</v>
      </c>
      <c r="G35" s="213">
        <f t="shared" ca="1" si="0"/>
        <v>5001001000000</v>
      </c>
      <c r="H35" s="6" t="str">
        <f t="shared" ca="1" si="10"/>
        <v>OK</v>
      </c>
      <c r="I35" s="23">
        <f t="shared" ca="1" si="12"/>
        <v>3</v>
      </c>
      <c r="J35" s="214" t="b">
        <f t="shared" si="1"/>
        <v>0</v>
      </c>
      <c r="K35" s="212" t="s">
        <v>284</v>
      </c>
      <c r="L35" s="165" t="str">
        <f t="shared" ca="1" si="13"/>
        <v>5.1.1</v>
      </c>
      <c r="M35" s="158" t="s">
        <v>12</v>
      </c>
      <c r="N35" s="158" t="s">
        <v>363</v>
      </c>
      <c r="O35" s="158" t="s">
        <v>362</v>
      </c>
      <c r="P35" s="159" t="s">
        <v>351</v>
      </c>
      <c r="Q35" s="160">
        <f>PLQ!E35</f>
        <v>3</v>
      </c>
      <c r="R35" s="161">
        <v>284.75</v>
      </c>
      <c r="S35" s="162" t="s">
        <v>133</v>
      </c>
      <c r="T35" s="160">
        <f t="shared" ca="1" si="2"/>
        <v>369.58</v>
      </c>
      <c r="U35" s="209">
        <f t="shared" ca="1" si="3"/>
        <v>1108.74</v>
      </c>
      <c r="V35" s="22" t="str">
        <f t="shared" ca="1" si="11"/>
        <v/>
      </c>
      <c r="W35" s="4" t="str">
        <f ca="1">IF(AND($K35&lt;&gt;"",$K35&lt;&gt;"Serviço",I35&lt;=2),MAX(W$15:OFFSET(W35,-1,0))+1,"")</f>
        <v/>
      </c>
      <c r="AA35" s="4">
        <f ca="1">IF(ISNUMBER(S35),S35,IF(LEFT(S35,3)="BDI",VLOOKUP(S35,DADOS!$E$128:$F$132,2,FALSE),0))</f>
        <v>0.2979</v>
      </c>
    </row>
    <row r="36" spans="1:27" x14ac:dyDescent="0.2">
      <c r="A36" s="23">
        <f t="shared" ca="1" si="4"/>
        <v>5</v>
      </c>
      <c r="B36" s="23">
        <f t="shared" ca="1" si="5"/>
        <v>1</v>
      </c>
      <c r="C36" s="23">
        <f t="shared" ca="1" si="6"/>
        <v>2</v>
      </c>
      <c r="D36" s="23">
        <f t="shared" ca="1" si="7"/>
        <v>0</v>
      </c>
      <c r="E36" s="23">
        <f t="shared" ca="1" si="8"/>
        <v>0</v>
      </c>
      <c r="F36" s="6" t="str">
        <f t="shared" si="9"/>
        <v>OK</v>
      </c>
      <c r="G36" s="213">
        <f t="shared" ca="1" si="0"/>
        <v>5001002000000</v>
      </c>
      <c r="H36" s="6" t="str">
        <f t="shared" ca="1" si="10"/>
        <v>OK</v>
      </c>
      <c r="I36" s="23">
        <f t="shared" ca="1" si="12"/>
        <v>3</v>
      </c>
      <c r="J36" s="214" t="b">
        <f t="shared" si="1"/>
        <v>0</v>
      </c>
      <c r="K36" s="212" t="s">
        <v>284</v>
      </c>
      <c r="L36" s="165" t="str">
        <f t="shared" ca="1" si="13"/>
        <v>5.1.2</v>
      </c>
      <c r="M36" s="158" t="s">
        <v>12</v>
      </c>
      <c r="N36" s="158" t="s">
        <v>364</v>
      </c>
      <c r="O36" s="158" t="s">
        <v>365</v>
      </c>
      <c r="P36" s="159" t="s">
        <v>351</v>
      </c>
      <c r="Q36" s="160">
        <f>PLQ!E36</f>
        <v>3</v>
      </c>
      <c r="R36" s="161">
        <v>127.32</v>
      </c>
      <c r="S36" s="162" t="s">
        <v>133</v>
      </c>
      <c r="T36" s="160">
        <f t="shared" ca="1" si="2"/>
        <v>165.25</v>
      </c>
      <c r="U36" s="209">
        <f t="shared" ca="1" si="3"/>
        <v>495.75</v>
      </c>
      <c r="V36" s="22" t="str">
        <f t="shared" ca="1" si="11"/>
        <v/>
      </c>
      <c r="W36" s="4" t="str">
        <f ca="1">IF(AND($K36&lt;&gt;"",$K36&lt;&gt;"Serviço",I36&lt;=2),MAX(W$15:OFFSET(W36,-1,0))+1,"")</f>
        <v/>
      </c>
      <c r="AA36" s="4">
        <f ca="1">IF(ISNUMBER(S36),S36,IF(LEFT(S36,3)="BDI",VLOOKUP(S36,DADOS!$E$128:$F$132,2,FALSE),0))</f>
        <v>0.2979</v>
      </c>
    </row>
    <row r="37" spans="1:27" x14ac:dyDescent="0.2">
      <c r="A37" s="23">
        <f t="shared" ca="1" si="4"/>
        <v>6</v>
      </c>
      <c r="B37" s="23">
        <f t="shared" ca="1" si="5"/>
        <v>0</v>
      </c>
      <c r="C37" s="23">
        <f t="shared" ca="1" si="6"/>
        <v>0</v>
      </c>
      <c r="D37" s="23">
        <f t="shared" ca="1" si="7"/>
        <v>0</v>
      </c>
      <c r="E37" s="23">
        <f t="shared" ca="1" si="8"/>
        <v>0</v>
      </c>
      <c r="F37" s="6" t="str">
        <f t="shared" si="9"/>
        <v>UNIDADE</v>
      </c>
      <c r="G37" s="213">
        <f t="shared" si="0"/>
        <v>9.9899999999999993E+22</v>
      </c>
      <c r="H37" s="6" t="str">
        <f t="shared" ca="1" si="10"/>
        <v>OK</v>
      </c>
      <c r="I37" s="23">
        <f t="shared" ca="1" si="12"/>
        <v>1</v>
      </c>
      <c r="J37" s="214">
        <f t="shared" ca="1" si="1"/>
        <v>7000000000000</v>
      </c>
      <c r="K37" s="212" t="s">
        <v>280</v>
      </c>
      <c r="L37" s="165" t="str">
        <f t="shared" ca="1" si="13"/>
        <v>6</v>
      </c>
      <c r="M37" s="158"/>
      <c r="N37" s="158"/>
      <c r="O37" s="158" t="s">
        <v>366</v>
      </c>
      <c r="P37" s="159"/>
      <c r="Q37" s="160">
        <f>PLQ!E37</f>
        <v>0</v>
      </c>
      <c r="R37" s="161"/>
      <c r="S37" s="162" t="s">
        <v>133</v>
      </c>
      <c r="T37" s="160" t="str">
        <f t="shared" ca="1" si="2"/>
        <v/>
      </c>
      <c r="U37" s="209">
        <f t="shared" ca="1" si="3"/>
        <v>4543.0200000000004</v>
      </c>
      <c r="V37" s="22" t="str">
        <f t="shared" ca="1" si="11"/>
        <v/>
      </c>
      <c r="W37" s="4">
        <f ca="1">IF(AND($K37&lt;&gt;"",$K37&lt;&gt;"Serviço",I37&lt;=2),MAX(W$15:OFFSET(W37,-1,0))+1,"")</f>
        <v>11</v>
      </c>
      <c r="AA37" s="4">
        <f ca="1">IF(ISNUMBER(S37),S37,IF(LEFT(S37,3)="BDI",VLOOKUP(S37,DADOS!$E$128:$F$132,2,FALSE),0))</f>
        <v>0.2979</v>
      </c>
    </row>
    <row r="38" spans="1:27" x14ac:dyDescent="0.2">
      <c r="A38" s="23">
        <f t="shared" ca="1" si="4"/>
        <v>6</v>
      </c>
      <c r="B38" s="23">
        <f t="shared" ca="1" si="5"/>
        <v>1</v>
      </c>
      <c r="C38" s="23">
        <f t="shared" ca="1" si="6"/>
        <v>0</v>
      </c>
      <c r="D38" s="23">
        <f t="shared" ca="1" si="7"/>
        <v>0</v>
      </c>
      <c r="E38" s="23">
        <f t="shared" ca="1" si="8"/>
        <v>0</v>
      </c>
      <c r="F38" s="6" t="str">
        <f t="shared" si="9"/>
        <v>UNIDADE</v>
      </c>
      <c r="G38" s="213">
        <f t="shared" si="0"/>
        <v>9.9899999999999993E+22</v>
      </c>
      <c r="H38" s="6" t="str">
        <f t="shared" ca="1" si="10"/>
        <v>OK</v>
      </c>
      <c r="I38" s="23">
        <f t="shared" ca="1" si="12"/>
        <v>2</v>
      </c>
      <c r="J38" s="214">
        <f t="shared" ca="1" si="1"/>
        <v>6002000000000</v>
      </c>
      <c r="K38" s="212" t="s">
        <v>281</v>
      </c>
      <c r="L38" s="165" t="str">
        <f t="shared" ca="1" si="13"/>
        <v>6.1</v>
      </c>
      <c r="M38" s="158"/>
      <c r="N38" s="158"/>
      <c r="O38" s="158" t="s">
        <v>366</v>
      </c>
      <c r="P38" s="159"/>
      <c r="Q38" s="160">
        <f>PLQ!E38</f>
        <v>0</v>
      </c>
      <c r="R38" s="161"/>
      <c r="S38" s="162" t="s">
        <v>133</v>
      </c>
      <c r="T38" s="160" t="str">
        <f t="shared" ca="1" si="2"/>
        <v/>
      </c>
      <c r="U38" s="209">
        <f t="shared" ca="1" si="3"/>
        <v>4543.0200000000004</v>
      </c>
      <c r="V38" s="22" t="str">
        <f t="shared" ca="1" si="11"/>
        <v/>
      </c>
      <c r="W38" s="4">
        <f ca="1">IF(AND($K38&lt;&gt;"",$K38&lt;&gt;"Serviço",I38&lt;=2),MAX(W$15:OFFSET(W38,-1,0))+1,"")</f>
        <v>12</v>
      </c>
      <c r="AA38" s="4">
        <f ca="1">IF(ISNUMBER(S38),S38,IF(LEFT(S38,3)="BDI",VLOOKUP(S38,DADOS!$E$128:$F$132,2,FALSE),0))</f>
        <v>0.2979</v>
      </c>
    </row>
    <row r="39" spans="1:27" x14ac:dyDescent="0.2">
      <c r="A39" s="23">
        <f t="shared" ca="1" si="4"/>
        <v>6</v>
      </c>
      <c r="B39" s="23">
        <f t="shared" ca="1" si="5"/>
        <v>1</v>
      </c>
      <c r="C39" s="23">
        <f t="shared" ca="1" si="6"/>
        <v>1</v>
      </c>
      <c r="D39" s="23">
        <f t="shared" ca="1" si="7"/>
        <v>0</v>
      </c>
      <c r="E39" s="23">
        <f t="shared" ca="1" si="8"/>
        <v>0</v>
      </c>
      <c r="F39" s="6" t="str">
        <f t="shared" si="9"/>
        <v>OK</v>
      </c>
      <c r="G39" s="213">
        <f t="shared" ca="1" si="0"/>
        <v>6001001000000</v>
      </c>
      <c r="H39" s="6" t="str">
        <f t="shared" ca="1" si="10"/>
        <v>OK</v>
      </c>
      <c r="I39" s="23">
        <f t="shared" ca="1" si="12"/>
        <v>3</v>
      </c>
      <c r="J39" s="214" t="b">
        <f t="shared" si="1"/>
        <v>0</v>
      </c>
      <c r="K39" s="212" t="s">
        <v>284</v>
      </c>
      <c r="L39" s="165" t="str">
        <f t="shared" ca="1" si="13"/>
        <v>6.1.1</v>
      </c>
      <c r="M39" s="158" t="s">
        <v>12</v>
      </c>
      <c r="N39" s="158" t="s">
        <v>367</v>
      </c>
      <c r="O39" s="158" t="s">
        <v>371</v>
      </c>
      <c r="P39" s="159" t="s">
        <v>341</v>
      </c>
      <c r="Q39" s="160">
        <f>PLQ!E39</f>
        <v>350</v>
      </c>
      <c r="R39" s="161">
        <v>9.15</v>
      </c>
      <c r="S39" s="162" t="s">
        <v>133</v>
      </c>
      <c r="T39" s="160">
        <f t="shared" ca="1" si="2"/>
        <v>11.88</v>
      </c>
      <c r="U39" s="209">
        <f t="shared" ca="1" si="3"/>
        <v>4158</v>
      </c>
      <c r="V39" s="22" t="str">
        <f t="shared" ca="1" si="11"/>
        <v/>
      </c>
      <c r="W39" s="4" t="str">
        <f ca="1">IF(AND($K39&lt;&gt;"",$K39&lt;&gt;"Serviço",I39&lt;=2),MAX(W$15:OFFSET(W39,-1,0))+1,"")</f>
        <v/>
      </c>
      <c r="AA39" s="4">
        <f ca="1">IF(ISNUMBER(S39),S39,IF(LEFT(S39,3)="BDI",VLOOKUP(S39,DADOS!$E$128:$F$132,2,FALSE),0))</f>
        <v>0.2979</v>
      </c>
    </row>
    <row r="40" spans="1:27" x14ac:dyDescent="0.2">
      <c r="A40" s="23">
        <f ca="1">IF(K40="",OFFSET(A40,-1,0),IF(I40=1,OFFSET(A40,-1,0)+1,OFFSET(A40,-1,0)))</f>
        <v>6</v>
      </c>
      <c r="B40" s="23">
        <f ca="1">IF(K40="",OFFSET(B40,-1,0),IF(AND($I40&lt;=1,$I40&lt;&gt;0),0,IF($I40=2,OFFSET(B40,-1,0)+1,OFFSET(B40,-1,0))))</f>
        <v>1</v>
      </c>
      <c r="C40" s="23">
        <f ca="1">IF(K40="",OFFSET(C40,-1,0),IF(AND($I40&lt;=2,$I40&lt;&gt;0),0,IF($I40=3,OFFSET(C40,-1,0)+1,OFFSET(C40,-1,0))))</f>
        <v>2</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OK</v>
      </c>
      <c r="G40" s="213">
        <f ca="1">IF(OR(K40="",K40="Serviço"),PO.NúmeroNível,9.99E+22)</f>
        <v>6001002000000</v>
      </c>
      <c r="H40" s="6" t="str">
        <f ca="1">IF(OR(AND(ISERROR(G40),I40&lt;&gt;"L"),J40=0),"NÍVEL",IF(F40="DESCRIÇÃO",IF(J40&lt;&gt;"S",F40,IF(OR(J39&lt;&gt;"S",NOT(AND(ISBLANK(M40),ISBLANK(N40),ISBLANK(P40),Q40=0,ISBLANK(R40)))),F40,"OK")),IF(J40="S",F40,"OK")))</f>
        <v>OK</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6.1.2</v>
      </c>
      <c r="M40" s="158" t="s">
        <v>12</v>
      </c>
      <c r="N40" s="158" t="s">
        <v>368</v>
      </c>
      <c r="O40" s="158" t="s">
        <v>369</v>
      </c>
      <c r="P40" s="159" t="s">
        <v>341</v>
      </c>
      <c r="Q40" s="160">
        <f>PLQ!E40</f>
        <v>10.8</v>
      </c>
      <c r="R40" s="161">
        <v>27.47</v>
      </c>
      <c r="S40" s="162" t="s">
        <v>133</v>
      </c>
      <c r="T40" s="160">
        <f ca="1">IF(OR($K40="",$K40="Serviço"),ROUND(ROUND($R40,2)*IF(TipoOrçamento="LICITADO",1,ROUND(1+IF(ISERROR(MATCH($S40,Dados.Lista.BDI,0)),VALUE($S40),INDEX(OFFSET(Dados.Lista.BDI,0,1),MATCH($S40,Dados.Lista.BDI,0),1)),4)),2),"")</f>
        <v>35.65</v>
      </c>
      <c r="U40" s="209">
        <f t="shared" ca="1" si="3"/>
        <v>385.02</v>
      </c>
      <c r="V40" s="22" t="str">
        <f ca="1">IF($H40&lt;&gt;"OK",$H40,"")</f>
        <v/>
      </c>
      <c r="W40" s="4" t="str">
        <f ca="1">IF(AND($K40&lt;&gt;"",$K40&lt;&gt;"Serviço",I40&lt;=2),MAX(W$15:OFFSET(W40,-1,0))+1,"")</f>
        <v/>
      </c>
      <c r="AA40" s="4">
        <f ca="1">IF(ISNUMBER(S40),S40,IF(LEFT(S40,3)="BDI",VLOOKUP(S40,DADOS!$E$128:$F$132,2,FALSE),0))</f>
        <v>0.2979</v>
      </c>
    </row>
    <row r="41" spans="1:27" x14ac:dyDescent="0.2">
      <c r="A41" s="23">
        <f t="shared" ca="1" si="4"/>
        <v>6</v>
      </c>
      <c r="B41" s="23">
        <f t="shared" ca="1" si="5"/>
        <v>1</v>
      </c>
      <c r="C41" s="23">
        <f t="shared" ca="1" si="6"/>
        <v>3</v>
      </c>
      <c r="D41" s="23">
        <f t="shared" ca="1" si="7"/>
        <v>0</v>
      </c>
      <c r="E41" s="23">
        <f t="shared" ca="1" si="8"/>
        <v>0</v>
      </c>
      <c r="F41" s="6" t="str">
        <f t="shared" si="9"/>
        <v>DESCRIÇÃO</v>
      </c>
      <c r="G41" s="213">
        <f t="shared" ca="1" si="0"/>
        <v>6001003000000</v>
      </c>
      <c r="H41" s="6" t="str">
        <f t="shared" ca="1" si="10"/>
        <v>DESCRIÇÃO</v>
      </c>
      <c r="I41" s="23">
        <f t="shared" ca="1" si="12"/>
        <v>3</v>
      </c>
      <c r="J41" s="214" t="b">
        <f t="shared" si="1"/>
        <v>0</v>
      </c>
      <c r="K41" s="212" t="s">
        <v>284</v>
      </c>
      <c r="L41" s="165" t="str">
        <f t="shared" ca="1" si="13"/>
        <v>6.1.3</v>
      </c>
      <c r="M41" s="158"/>
      <c r="N41" s="158"/>
      <c r="O41" s="158"/>
      <c r="P41" s="159"/>
      <c r="Q41" s="160">
        <f>PLQ!E41</f>
        <v>0</v>
      </c>
      <c r="R41" s="161"/>
      <c r="S41" s="162" t="s">
        <v>133</v>
      </c>
      <c r="T41" s="160">
        <f t="shared" ca="1" si="2"/>
        <v>0</v>
      </c>
      <c r="U41" s="209">
        <f t="shared" ca="1" si="3"/>
        <v>0</v>
      </c>
      <c r="V41" s="22" t="str">
        <f t="shared" ca="1" si="11"/>
        <v>DESCRIÇÃO</v>
      </c>
      <c r="W41" s="4" t="str">
        <f ca="1">IF(AND($K41&lt;&gt;"",$K41&lt;&gt;"Serviço",I41&lt;=2),MAX(W$15:OFFSET(W41,-1,0))+1,"")</f>
        <v/>
      </c>
      <c r="AA41" s="4">
        <f ca="1">IF(ISNUMBER(S41),S41,IF(LEFT(S41,3)="BDI",VLOOKUP(S41,DADOS!$E$128:$F$132,2,FALSE),0))</f>
        <v>0.2979</v>
      </c>
    </row>
    <row r="42" spans="1:27" x14ac:dyDescent="0.2">
      <c r="A42" s="23">
        <f t="shared" ca="1" si="4"/>
        <v>6</v>
      </c>
      <c r="B42" s="23">
        <f t="shared" ca="1" si="5"/>
        <v>1</v>
      </c>
      <c r="C42" s="23">
        <f t="shared" ca="1" si="6"/>
        <v>4</v>
      </c>
      <c r="D42" s="23">
        <f t="shared" ca="1" si="7"/>
        <v>0</v>
      </c>
      <c r="E42" s="23">
        <f t="shared" ca="1" si="8"/>
        <v>0</v>
      </c>
      <c r="F42" s="6" t="str">
        <f t="shared" si="9"/>
        <v>DESCRIÇÃO</v>
      </c>
      <c r="G42" s="213">
        <f t="shared" ca="1" si="0"/>
        <v>6001004000000</v>
      </c>
      <c r="H42" s="6" t="str">
        <f t="shared" ca="1" si="10"/>
        <v>DESCRIÇÃO</v>
      </c>
      <c r="I42" s="23">
        <f t="shared" ca="1" si="12"/>
        <v>3</v>
      </c>
      <c r="J42" s="214" t="b">
        <f t="shared" si="1"/>
        <v>0</v>
      </c>
      <c r="K42" s="212" t="s">
        <v>284</v>
      </c>
      <c r="L42" s="165" t="str">
        <f t="shared" ca="1" si="13"/>
        <v>6.1.4</v>
      </c>
      <c r="M42" s="158"/>
      <c r="N42" s="158"/>
      <c r="O42" s="158"/>
      <c r="P42" s="159"/>
      <c r="Q42" s="160">
        <f>PLQ!E42</f>
        <v>0</v>
      </c>
      <c r="R42" s="161"/>
      <c r="S42" s="162" t="s">
        <v>133</v>
      </c>
      <c r="T42" s="160">
        <f t="shared" ca="1" si="2"/>
        <v>0</v>
      </c>
      <c r="U42" s="209">
        <f t="shared" ca="1" si="3"/>
        <v>0</v>
      </c>
      <c r="V42" s="22" t="str">
        <f t="shared" ca="1" si="11"/>
        <v>DESCRIÇÃO</v>
      </c>
      <c r="W42" s="4" t="str">
        <f ca="1">IF(AND($K42&lt;&gt;"",$K42&lt;&gt;"Serviço",I42&lt;=2),MAX(W$15:OFFSET(W42,-1,0))+1,"")</f>
        <v/>
      </c>
      <c r="AA42" s="4">
        <f ca="1">IF(ISNUMBER(S42),S42,IF(LEFT(S42,3)="BDI",VLOOKUP(S42,DADOS!$E$128:$F$132,2,FALSE),0))</f>
        <v>0.2979</v>
      </c>
    </row>
    <row r="43" spans="1:27" x14ac:dyDescent="0.2">
      <c r="A43" s="23">
        <f t="shared" ca="1" si="4"/>
        <v>6</v>
      </c>
      <c r="B43" s="23">
        <f t="shared" ca="1" si="5"/>
        <v>1</v>
      </c>
      <c r="C43" s="23">
        <f t="shared" ca="1" si="6"/>
        <v>5</v>
      </c>
      <c r="D43" s="23">
        <f t="shared" ca="1" si="7"/>
        <v>0</v>
      </c>
      <c r="E43" s="23">
        <f t="shared" ca="1" si="8"/>
        <v>0</v>
      </c>
      <c r="F43" s="6" t="str">
        <f t="shared" si="9"/>
        <v>DESCRIÇÃO</v>
      </c>
      <c r="G43" s="213">
        <f t="shared" ca="1" si="0"/>
        <v>6001005000000</v>
      </c>
      <c r="H43" s="6" t="str">
        <f t="shared" ca="1" si="10"/>
        <v>DESCRIÇÃO</v>
      </c>
      <c r="I43" s="23">
        <f t="shared" ca="1" si="12"/>
        <v>3</v>
      </c>
      <c r="J43" s="214" t="b">
        <f t="shared" si="1"/>
        <v>0</v>
      </c>
      <c r="K43" s="212" t="s">
        <v>284</v>
      </c>
      <c r="L43" s="165" t="str">
        <f t="shared" ca="1" si="13"/>
        <v>6.1.5</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6</v>
      </c>
      <c r="B44" s="23">
        <f t="shared" ca="1" si="5"/>
        <v>1</v>
      </c>
      <c r="C44" s="23">
        <f t="shared" ca="1" si="6"/>
        <v>6</v>
      </c>
      <c r="D44" s="23">
        <f t="shared" ca="1" si="7"/>
        <v>0</v>
      </c>
      <c r="E44" s="23">
        <f t="shared" ca="1" si="8"/>
        <v>0</v>
      </c>
      <c r="F44" s="6" t="str">
        <f t="shared" si="9"/>
        <v>DESCRIÇÃO</v>
      </c>
      <c r="G44" s="213">
        <f t="shared" ca="1" si="0"/>
        <v>6001006000000</v>
      </c>
      <c r="H44" s="6" t="str">
        <f t="shared" ca="1" si="10"/>
        <v>DESCRIÇÃO</v>
      </c>
      <c r="I44" s="23">
        <f t="shared" ca="1" si="12"/>
        <v>3</v>
      </c>
      <c r="J44" s="214" t="b">
        <f t="shared" si="1"/>
        <v>0</v>
      </c>
      <c r="K44" s="212" t="s">
        <v>284</v>
      </c>
      <c r="L44" s="165" t="str">
        <f t="shared" ca="1" si="13"/>
        <v>6.1.6</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6</v>
      </c>
      <c r="B45" s="23">
        <f t="shared" ca="1" si="5"/>
        <v>1</v>
      </c>
      <c r="C45" s="23">
        <f t="shared" ca="1" si="6"/>
        <v>7</v>
      </c>
      <c r="D45" s="23">
        <f t="shared" ca="1" si="7"/>
        <v>0</v>
      </c>
      <c r="E45" s="23">
        <f t="shared" ca="1" si="8"/>
        <v>0</v>
      </c>
      <c r="F45" s="6" t="str">
        <f t="shared" si="9"/>
        <v>UNIDADE</v>
      </c>
      <c r="G45" s="213">
        <f t="shared" ca="1" si="0"/>
        <v>6001007000000</v>
      </c>
      <c r="H45" s="6" t="str">
        <f t="shared" ca="1" si="10"/>
        <v>OK</v>
      </c>
      <c r="I45" s="23">
        <f t="shared" ca="1" si="12"/>
        <v>3</v>
      </c>
      <c r="J45" s="214" t="b">
        <f t="shared" si="1"/>
        <v>0</v>
      </c>
      <c r="K45" s="212" t="s">
        <v>284</v>
      </c>
      <c r="L45" s="165" t="str">
        <f t="shared" ca="1" si="13"/>
        <v>6.1.7</v>
      </c>
      <c r="M45" s="158"/>
      <c r="N45" s="158"/>
      <c r="O45" s="158" t="s">
        <v>370</v>
      </c>
      <c r="P45" s="159"/>
      <c r="Q45" s="160">
        <f>PLQ!E45</f>
        <v>0</v>
      </c>
      <c r="R45" s="161"/>
      <c r="S45" s="162" t="s">
        <v>133</v>
      </c>
      <c r="T45" s="160">
        <f t="shared" ca="1" si="2"/>
        <v>0</v>
      </c>
      <c r="U45" s="209">
        <f t="shared" ca="1" si="3"/>
        <v>0</v>
      </c>
      <c r="V45" s="22" t="str">
        <f t="shared" ca="1" si="11"/>
        <v/>
      </c>
      <c r="W45" s="4" t="str">
        <f ca="1">IF(AND($K45&lt;&gt;"",$K45&lt;&gt;"Serviço",I45&lt;=2),MAX(W$15:OFFSET(W45,-1,0))+1,"")</f>
        <v/>
      </c>
      <c r="AA45" s="4">
        <f ca="1">IF(ISNUMBER(S45),S45,IF(LEFT(S45,3)="BDI",VLOOKUP(S45,DADOS!$E$128:$F$132,2,FALSE),0))</f>
        <v>0.2979</v>
      </c>
    </row>
    <row r="46" spans="1:27" x14ac:dyDescent="0.2">
      <c r="A46" s="23">
        <f t="shared" ca="1" si="4"/>
        <v>6</v>
      </c>
      <c r="B46" s="23">
        <f t="shared" ca="1" si="5"/>
        <v>1</v>
      </c>
      <c r="C46" s="23">
        <f t="shared" ca="1" si="6"/>
        <v>8</v>
      </c>
      <c r="D46" s="23">
        <f t="shared" ca="1" si="7"/>
        <v>0</v>
      </c>
      <c r="E46" s="23">
        <f t="shared" ca="1" si="8"/>
        <v>0</v>
      </c>
      <c r="F46" s="6" t="str">
        <f t="shared" si="9"/>
        <v>DESCRIÇÃO</v>
      </c>
      <c r="G46" s="213">
        <f t="shared" ca="1" si="0"/>
        <v>6001008000000</v>
      </c>
      <c r="H46" s="6" t="str">
        <f t="shared" ca="1" si="10"/>
        <v>DESCRIÇÃO</v>
      </c>
      <c r="I46" s="23">
        <f t="shared" ca="1" si="12"/>
        <v>3</v>
      </c>
      <c r="J46" s="214" t="b">
        <f t="shared" si="1"/>
        <v>0</v>
      </c>
      <c r="K46" s="212" t="s">
        <v>284</v>
      </c>
      <c r="L46" s="165" t="str">
        <f t="shared" ca="1" si="13"/>
        <v>6.1.8</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6</v>
      </c>
      <c r="B47" s="23">
        <f t="shared" ca="1" si="5"/>
        <v>1</v>
      </c>
      <c r="C47" s="23">
        <f t="shared" ca="1" si="6"/>
        <v>9</v>
      </c>
      <c r="D47" s="23">
        <f t="shared" ca="1" si="7"/>
        <v>0</v>
      </c>
      <c r="E47" s="23">
        <f t="shared" ca="1" si="8"/>
        <v>0</v>
      </c>
      <c r="F47" s="6" t="str">
        <f t="shared" si="9"/>
        <v>DESCRIÇÃO</v>
      </c>
      <c r="G47" s="213">
        <f t="shared" ca="1" si="0"/>
        <v>6001009000000</v>
      </c>
      <c r="H47" s="6" t="str">
        <f t="shared" ca="1" si="10"/>
        <v>DESCRIÇÃO</v>
      </c>
      <c r="I47" s="23">
        <f t="shared" ca="1" si="12"/>
        <v>3</v>
      </c>
      <c r="J47" s="214" t="b">
        <f t="shared" si="1"/>
        <v>0</v>
      </c>
      <c r="K47" s="212" t="s">
        <v>284</v>
      </c>
      <c r="L47" s="165" t="str">
        <f t="shared" ca="1" si="13"/>
        <v>6.1.9</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H24" sqref="H24"/>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piso do restaurante</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piso do restaurante</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 xml:space="preserve">argamassa de regularização traço 1.5 </v>
      </c>
      <c r="D18" s="26" t="str">
        <f>IF($C18="","",PO!P18)</f>
        <v>m²</v>
      </c>
      <c r="E18" s="27">
        <f>IF(OR($C18="",RIGHT($A18,7)&lt;&gt;"Serviço"),0,SUMPRODUCT(($F$14:$BC$14&lt;&gt;"")*ROUND($F18:$BC18,2)))</f>
        <v>222.44</v>
      </c>
      <c r="F18" s="20">
        <v>222.44</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piso ceramico</v>
      </c>
      <c r="D19" s="26" t="str">
        <f>IF($C19="","",PO!P19)</f>
        <v>m²</v>
      </c>
      <c r="E19" s="27">
        <f>IF(OR($C19="",RIGHT($A19,7)&lt;&gt;"Serviço"),0,SUMPRODUCT(($F$14:$BC$14&lt;&gt;"")*ROUND($F19:$BC19,2)))</f>
        <v>222.44</v>
      </c>
      <c r="F19" s="20">
        <v>222.44</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Meta</v>
      </c>
      <c r="B20" s="25" t="str">
        <f ca="1">PO!L20</f>
        <v>2</v>
      </c>
      <c r="C20" s="25" t="str">
        <f>IF(PO!$O20=0,"",PO!$O20)</f>
        <v>cobertura</v>
      </c>
      <c r="D20" s="26">
        <f>IF($C20="","",PO!P20)</f>
        <v>0</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Nível 2</v>
      </c>
      <c r="B21" s="25" t="str">
        <f ca="1">PO!L21</f>
        <v>2.1</v>
      </c>
      <c r="C21" s="25" t="str">
        <f>IF(PO!$O21=0,"",PO!$O21)</f>
        <v>cobertura</v>
      </c>
      <c r="D21" s="26">
        <f>IF($C21="","",PO!P21)</f>
        <v>0</v>
      </c>
      <c r="E21" s="27">
        <f t="shared" si="2"/>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2.1.1</v>
      </c>
      <c r="C22" s="25" t="str">
        <f>IF(PO!$O22=0,"",PO!$O22)</f>
        <v>estrutura metalica em tesouras para vãos até 15 m</v>
      </c>
      <c r="D22" s="26" t="str">
        <f>IF($C22="","",PO!P22)</f>
        <v>m²</v>
      </c>
      <c r="E22" s="27">
        <f t="shared" si="2"/>
        <v>247.54</v>
      </c>
      <c r="F22" s="20">
        <v>247.54</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Serviço</v>
      </c>
      <c r="B23" s="25" t="str">
        <f ca="1">PO!L23</f>
        <v>2.1.2</v>
      </c>
      <c r="C23" s="25" t="str">
        <f>IF(PO!$O23=0,"",PO!$O23)</f>
        <v>cobertura com telha aço zincado trapezoidal e=o,5 mm incluindo acessorios</v>
      </c>
      <c r="D23" s="26" t="str">
        <f>IF($C23="","",PO!P23)</f>
        <v>m²</v>
      </c>
      <c r="E23" s="27">
        <f t="shared" si="2"/>
        <v>247.54</v>
      </c>
      <c r="F23" s="20">
        <v>247.54</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Meta</v>
      </c>
      <c r="B24" s="25" t="str">
        <f ca="1">PO!L24</f>
        <v>3</v>
      </c>
      <c r="C24" s="25" t="str">
        <f>IF(PO!$O24=0,"",PO!$O24)</f>
        <v>esquadrias</v>
      </c>
      <c r="D24" s="26">
        <f>IF($C24="","",PO!P24)</f>
        <v>0</v>
      </c>
      <c r="E24" s="27">
        <f>IF(OR($C24="",RIGHT($A24,7)&lt;&gt;"Serviço"),0,SUMPRODUCT(($F$14:$BC$14&lt;&gt;"")*ROUND($F24:$BC24,2)))</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Nível 2</v>
      </c>
      <c r="B25" s="25" t="str">
        <f ca="1">PO!L25</f>
        <v>3.1</v>
      </c>
      <c r="C25" s="25" t="str">
        <f>IF(PO!$O25=0,"",PO!$O25)</f>
        <v>esquadrias</v>
      </c>
      <c r="D25" s="26">
        <f>IF($C25="","",PO!P25)</f>
        <v>0</v>
      </c>
      <c r="E25" s="27">
        <f>IF(OR($C25="",RIGHT($A25,7)&lt;&gt;"Serviço"),0,SUMPRODUCT(($F$14:$BC$14&lt;&gt;"")*ROUND($F25:$BC25,2)))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Serviço</v>
      </c>
      <c r="B26" s="25" t="str">
        <f ca="1">PO!L26</f>
        <v>3.1.1</v>
      </c>
      <c r="C26" s="25" t="str">
        <f>IF(PO!$O26=0,"",PO!$O26)</f>
        <v>portas internas de madeira com ferragem</v>
      </c>
      <c r="D26" s="26" t="str">
        <f>IF($C26="","",PO!P26)</f>
        <v>und</v>
      </c>
      <c r="E26" s="27">
        <f t="shared" si="2"/>
        <v>3</v>
      </c>
      <c r="F26" s="20">
        <v>3</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3.1.2</v>
      </c>
      <c r="C27" s="25" t="str">
        <f>IF(PO!$O27=0,"",PO!$O27)</f>
        <v>janelas basculantes</v>
      </c>
      <c r="D27" s="26" t="str">
        <f>IF($C27="","",PO!P27)</f>
        <v>m²</v>
      </c>
      <c r="E27" s="27">
        <f t="shared" si="2"/>
        <v>10.8</v>
      </c>
      <c r="F27" s="20">
        <v>10.8</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Serviço</v>
      </c>
      <c r="B28" s="25" t="str">
        <f ca="1">PO!L28</f>
        <v>3.1.3</v>
      </c>
      <c r="C28" s="25" t="str">
        <f>IF(PO!$O28=0,"",PO!$O28)</f>
        <v>vidros fantasia tipo canelado 4 mm</v>
      </c>
      <c r="D28" s="26" t="str">
        <f>IF($C28="","",PO!P28)</f>
        <v>m²</v>
      </c>
      <c r="E28" s="27">
        <f t="shared" si="2"/>
        <v>10.8</v>
      </c>
      <c r="F28" s="20">
        <v>10.8</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Meta</v>
      </c>
      <c r="B29" s="25" t="str">
        <f ca="1">PO!L29</f>
        <v>4</v>
      </c>
      <c r="C29" s="25" t="str">
        <f>IF(PO!$O29=0,"",PO!$O29)</f>
        <v>revestimento</v>
      </c>
      <c r="D29" s="26">
        <f>IF($C29="","",PO!P29)</f>
        <v>0</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Nível 2</v>
      </c>
      <c r="B30" s="25" t="str">
        <f ca="1">PO!L30</f>
        <v>4.1</v>
      </c>
      <c r="C30" s="25" t="str">
        <f>IF(PO!$O30=0,"",PO!$O30)</f>
        <v>revestimento</v>
      </c>
      <c r="D30" s="26">
        <f>IF($C30="","",PO!P30)</f>
        <v>0</v>
      </c>
      <c r="E30" s="27">
        <f t="shared" si="2"/>
        <v>0</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4.1.1</v>
      </c>
      <c r="C31" s="25" t="str">
        <f>IF(PO!$O31=0,"",PO!$O31)</f>
        <v>reboco</v>
      </c>
      <c r="D31" s="26" t="str">
        <f>IF($C31="","",PO!P31)</f>
        <v>m²</v>
      </c>
      <c r="E31" s="27">
        <f t="shared" si="2"/>
        <v>30</v>
      </c>
      <c r="F31" s="20">
        <v>30</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Serviço</v>
      </c>
      <c r="B32" s="25" t="str">
        <f ca="1">PO!L32</f>
        <v>4.1.2</v>
      </c>
      <c r="C32" s="25" t="str">
        <f>IF(PO!$O32=0,"",PO!$O32)</f>
        <v>chapisco traço 1.3</v>
      </c>
      <c r="D32" s="26" t="str">
        <f>IF($C32="","",PO!P32)</f>
        <v>m²</v>
      </c>
      <c r="E32" s="27">
        <f t="shared" si="2"/>
        <v>30</v>
      </c>
      <c r="F32" s="20">
        <v>30</v>
      </c>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Meta</v>
      </c>
      <c r="B33" s="25" t="str">
        <f ca="1">PO!L33</f>
        <v>5</v>
      </c>
      <c r="C33" s="25" t="str">
        <f>IF(PO!$O33=0,"",PO!$O33)</f>
        <v>equipamentos sanitarios</v>
      </c>
      <c r="D33" s="26">
        <f>IF($C33="","",PO!P33)</f>
        <v>0</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Nível 2</v>
      </c>
      <c r="B34" s="25" t="str">
        <f ca="1">PO!L34</f>
        <v>5.1</v>
      </c>
      <c r="C34" s="25" t="str">
        <f>IF(PO!$O34=0,"",PO!$O34)</f>
        <v>equipamentos sanitarios</v>
      </c>
      <c r="D34" s="26">
        <f>IF($C34="","",PO!P34)</f>
        <v>0</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5.1.1</v>
      </c>
      <c r="C35" s="25" t="str">
        <f>IF(PO!$O35=0,"",PO!$O35)</f>
        <v>bacia sanitaria sinfonada com caixa acoplada padrão medio</v>
      </c>
      <c r="D35" s="26" t="str">
        <f>IF($C35="","",PO!P35)</f>
        <v>und</v>
      </c>
      <c r="E35" s="27">
        <f t="shared" si="2"/>
        <v>3</v>
      </c>
      <c r="F35" s="20">
        <v>3</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5.1.2</v>
      </c>
      <c r="C36" s="25" t="str">
        <f>IF(PO!$O36=0,"",PO!$O36)</f>
        <v>lavatório com coluna</v>
      </c>
      <c r="D36" s="26" t="str">
        <f>IF($C36="","",PO!P36)</f>
        <v>und</v>
      </c>
      <c r="E36" s="27">
        <f t="shared" si="2"/>
        <v>3</v>
      </c>
      <c r="F36" s="20">
        <v>3</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Meta</v>
      </c>
      <c r="B37" s="25" t="str">
        <f ca="1">PO!L37</f>
        <v>6</v>
      </c>
      <c r="C37" s="25" t="str">
        <f>IF(PO!$O37=0,"",PO!$O37)</f>
        <v>pintura</v>
      </c>
      <c r="D37" s="26">
        <f>IF($C37="","",PO!P37)</f>
        <v>0</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Nível 2</v>
      </c>
      <c r="B38" s="25" t="str">
        <f ca="1">PO!L38</f>
        <v>6.1</v>
      </c>
      <c r="C38" s="25" t="str">
        <f>IF(PO!$O38=0,"",PO!$O38)</f>
        <v>pintura</v>
      </c>
      <c r="D38" s="26">
        <f>IF($C38="","",PO!P38)</f>
        <v>0</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6.1.1</v>
      </c>
      <c r="C39" s="25" t="str">
        <f>IF(PO!$O39=0,"",PO!$O39)</f>
        <v xml:space="preserve">pintura tinta acrilica </v>
      </c>
      <c r="D39" s="26" t="str">
        <f>IF($C39="","",PO!P39)</f>
        <v>m²</v>
      </c>
      <c r="E39" s="27">
        <f t="shared" si="2"/>
        <v>350</v>
      </c>
      <c r="F39" s="20">
        <v>350</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6.1.2</v>
      </c>
      <c r="C40" s="25" t="str">
        <f>IF(PO!$O40=0,"",PO!$O40)</f>
        <v>tinta esmalte sintetico ( brilhante)</v>
      </c>
      <c r="D40" s="26" t="str">
        <f>IF($C40="","",PO!P40)</f>
        <v>m²</v>
      </c>
      <c r="E40" s="27">
        <f t="shared" si="2"/>
        <v>10.8</v>
      </c>
      <c r="F40" s="20">
        <v>10.8</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6.1.3</v>
      </c>
      <c r="C41" s="25" t="str">
        <f>IF(PO!$O41=0,"",PO!$O41)</f>
        <v/>
      </c>
      <c r="D41" s="26" t="str">
        <f>IF($C41="","",PO!P41)</f>
        <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6.1.4</v>
      </c>
      <c r="C42" s="25" t="str">
        <f>IF(PO!$O42=0,"",PO!$O42)</f>
        <v/>
      </c>
      <c r="D42" s="26" t="str">
        <f>IF($C42="","",PO!P42)</f>
        <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6.1.5</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6.1.6</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6.1.7</v>
      </c>
      <c r="C45" s="25" t="str">
        <f>IF(PO!$O45=0,"",PO!$O45)</f>
        <v>CONTINUA NA PROXIMA PAGINA</v>
      </c>
      <c r="D45" s="26">
        <f>IF($C45="","",PO!P45)</f>
        <v>0</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6.1.8</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6.1.9</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horizontalDpi="4294967294"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abSelected="1" topLeftCell="C4" zoomScale="80" zoomScaleNormal="80" zoomScaleSheetLayoutView="85" workbookViewId="0">
      <pane xSplit="4" ySplit="9" topLeftCell="G19" activePane="bottomRight" state="frozen"/>
      <selection activeCell="A14" sqref="A14:X14"/>
      <selection pane="topRight" activeCell="A14" sqref="A14:X14"/>
      <selection pane="bottomLeft" activeCell="A14" sqref="A14:X14"/>
      <selection pane="bottomRight" activeCell="D37" sqref="D37:D38"/>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6" t="str">
        <f ca="1">IF(ISERROR($B1),"",OFFSET(PO!$L$15,$B1,0))</f>
        <v/>
      </c>
      <c r="D1" s="368"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7"/>
      <c r="D2" s="369"/>
      <c r="E2" s="371"/>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74" t="str">
        <f ca="1">IF(ISERROR($B13),"",OFFSET(PO!$L$15,$B13,0))</f>
        <v>1</v>
      </c>
      <c r="D13" s="375" t="str">
        <f ca="1">IF(ISERROR($B13),"",OFFSET(PO!$L$15,$B13,3))</f>
        <v>piso do restaurante</v>
      </c>
      <c r="E13" s="373">
        <f ca="1">IF(ISERROR($B13),0,OFFSET(PO!$L$15,$B13,9))</f>
        <v>16427.189999999999</v>
      </c>
      <c r="F13" s="110" t="s">
        <v>7</v>
      </c>
      <c r="G13" s="115">
        <f ca="1">G14</f>
        <v>0</v>
      </c>
      <c r="H13" s="115">
        <f ca="1">IF(MAX($G14:$AT14)=0,"",IF(MATCH(MAX($G14:$AT14),$G14:$AT14,0)&lt;COUNTA($G$12:H$12),"",MAX($G14:H14)-MAX($G14:G14)))</f>
        <v>0</v>
      </c>
      <c r="I13" s="115">
        <f ca="1">IF(MAX($G14:$AT14)=0,"",IF(MATCH(MAX($G14:$AT14),$G14:$AT14,0)&lt;COUNTA($G$12:I$12),"",MAX($G14:I14)-MAX($G14:H14)))</f>
        <v>1</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7"/>
      <c r="D14" s="369"/>
      <c r="E14" s="371"/>
      <c r="F14" s="111" t="s">
        <v>9</v>
      </c>
      <c r="G14" s="117">
        <f ca="1">IF(ISNUMBER(VALUE($C13)),SUMPRODUCT(OFFSET(G14,2,0,COUNTIF($C$13:$C$42,$C13&amp;".*")*2-1),OFFSET($E13,2,0,COUNTIF($C$13:$C$42,$C13&amp;".*")*2-1))/$E13,0)</f>
        <v>0</v>
      </c>
      <c r="H14" s="117">
        <f t="shared" ref="H14:AT14" ca="1" si="1">IF(ISNUMBER(VALUE($C13)),SUMPRODUCT(OFFSET(H14,2,0,COUNTIF($C$13:$C$42,$C13&amp;".*")*2-1),OFFSET($E13,2,0,COUNTIF($C$13:$C$42,$C13&amp;".*")*2-1))/$E13,G14)</f>
        <v>0</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2" t="str">
        <f ca="1">IF(ISERROR($B15),"",OFFSET(PO!$L$15,$B15,0))</f>
        <v>1.1</v>
      </c>
      <c r="D15" s="376" t="str">
        <f ca="1">IF(ISERROR($B15),"",OFFSET(PO!$L$15,$B15,3))</f>
        <v>piso do restaurante</v>
      </c>
      <c r="E15" s="377">
        <f ca="1">IF(ISERROR($B15),0,OFFSET(PO!$L$15,$B15,9))</f>
        <v>16427.189999999999</v>
      </c>
      <c r="F15" s="114" t="s">
        <v>7</v>
      </c>
      <c r="G15" s="119">
        <f ca="1">G16</f>
        <v>0</v>
      </c>
      <c r="H15" s="119">
        <f ca="1">IF(MAX($G16:$AT16)=0,"",IF(MATCH(MAX($G16:$AT16),$G16:$AT16,0)&lt;COUNTA($G$12:H$12),"",MAX($G16:H16)-MAX($G16:G16)))</f>
        <v>0</v>
      </c>
      <c r="I15" s="119">
        <f ca="1">IF(MAX($G16:$AT16)=0,"",IF(MATCH(MAX($G16:$AT16),$G16:$AT16,0)&lt;COUNTA($G$12:I$12),"",MAX($G16:I16)-MAX($G16:H16)))</f>
        <v>1</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7"/>
      <c r="D16" s="369"/>
      <c r="E16" s="371"/>
      <c r="F16" s="111" t="s">
        <v>9</v>
      </c>
      <c r="G16" s="112">
        <f ca="1">IF(ISNUMBER(VALUE($C15)),SUMPRODUCT(OFFSET(G16,2,0,COUNTIF($C$13:$C$42,$C15&amp;".*")*2-1),OFFSET($E15,2,0,COUNTIF($C$13:$C$42,$C15&amp;".*")*2-1))/$E15,0)</f>
        <v>0</v>
      </c>
      <c r="H16" s="112">
        <f t="shared" ref="H16:AT16" ca="1" si="2">IF(ISNUMBER(VALUE($C15)),SUMPRODUCT(OFFSET(H16,2,0,COUNTIF($C$13:$C$42,$C15&amp;".*")*2-1),OFFSET($E15,2,0,COUNTIF($C$13:$C$42,$C15&amp;".*")*2-1))/$E15,G16)</f>
        <v>0</v>
      </c>
      <c r="I16" s="112">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f ca="1">MATCH(A17,OFFSET(PO!$W$15,0,0,PO!$J$15),0)-1</f>
        <v>5</v>
      </c>
      <c r="C17" s="366" t="str">
        <f ca="1">IF(ISERROR($B17),"",OFFSET(PO!$L$15,$B17,0))</f>
        <v>2</v>
      </c>
      <c r="D17" s="368" t="str">
        <f ca="1">IF(ISERROR($B17),"",OFFSET(PO!$L$15,$B17,3))</f>
        <v>cobertura</v>
      </c>
      <c r="E17" s="370">
        <f ca="1">IF(ISERROR($B17),0,OFFSET(PO!$L$15,$B17,9))</f>
        <v>28625.52</v>
      </c>
      <c r="F17" s="109" t="s">
        <v>7</v>
      </c>
      <c r="G17" s="121">
        <f ca="1">G18</f>
        <v>0</v>
      </c>
      <c r="H17" s="121">
        <f ca="1">IF(MAX($G18:$AT18)=0,"",IF(MATCH(MAX($G18:$AT18),$G18:$AT18,0)&lt;COUNTA($G$12:H$12),"",MAX($G18:H18)-MAX($G18:G18)))</f>
        <v>0</v>
      </c>
      <c r="I17" s="121">
        <f ca="1">IF(MAX($G18:$AT18)=0,"",IF(MATCH(MAX($G18:$AT18),$G18:$AT18,0)&lt;COUNTA($G$12:I$12),"",MAX($G18:I18)-MAX($G18:H18)))</f>
        <v>1</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7"/>
      <c r="D18" s="369"/>
      <c r="E18" s="371"/>
      <c r="F18" s="111" t="s">
        <v>9</v>
      </c>
      <c r="G18" s="112">
        <f ca="1">IF(ISNUMBER(VALUE($C17)),SUMPRODUCT(OFFSET(G18,2,0,COUNTIF($C$13:$C$42,$C17&amp;".*")*2-1),OFFSET($E17,2,0,COUNTIF($C$13:$C$42,$C17&amp;".*")*2-1))/$E17,0)</f>
        <v>0</v>
      </c>
      <c r="H18" s="112">
        <f t="shared" ref="H18:AT18" ca="1" si="3">IF(ISNUMBER(VALUE($C17)),SUMPRODUCT(OFFSET(H18,2,0,COUNTIF($C$13:$C$42,$C17&amp;".*")*2-1),OFFSET($E17,2,0,COUNTIF($C$13:$C$42,$C17&amp;".*")*2-1))/$E17,G18)</f>
        <v>0</v>
      </c>
      <c r="I18" s="112">
        <f t="shared" ca="1" si="3"/>
        <v>1</v>
      </c>
      <c r="J18" s="112">
        <f t="shared" ca="1" si="3"/>
        <v>0</v>
      </c>
      <c r="K18" s="112">
        <f t="shared" ca="1" si="3"/>
        <v>0</v>
      </c>
      <c r="L18" s="112">
        <f t="shared" ca="1" si="3"/>
        <v>0</v>
      </c>
      <c r="M18" s="112">
        <f t="shared" ca="1" si="3"/>
        <v>0</v>
      </c>
      <c r="N18" s="112">
        <f t="shared" ca="1" si="3"/>
        <v>0</v>
      </c>
      <c r="O18" s="112">
        <f t="shared" ca="1" si="3"/>
        <v>0</v>
      </c>
      <c r="P18" s="112">
        <f t="shared" ca="1" si="3"/>
        <v>0</v>
      </c>
      <c r="Q18" s="112">
        <f t="shared" ca="1" si="3"/>
        <v>0</v>
      </c>
      <c r="R18" s="112">
        <f t="shared" ca="1" si="3"/>
        <v>0</v>
      </c>
      <c r="S18" s="112">
        <f t="shared" ca="1" si="3"/>
        <v>0</v>
      </c>
      <c r="T18" s="112">
        <f t="shared" ca="1" si="3"/>
        <v>0</v>
      </c>
      <c r="U18" s="112">
        <f t="shared" ca="1" si="3"/>
        <v>0</v>
      </c>
      <c r="V18" s="112">
        <f t="shared" ca="1" si="3"/>
        <v>0</v>
      </c>
      <c r="W18" s="112">
        <f t="shared" ca="1" si="3"/>
        <v>0</v>
      </c>
      <c r="X18" s="112">
        <f t="shared" ca="1" si="3"/>
        <v>0</v>
      </c>
      <c r="Y18" s="112">
        <f t="shared" ca="1" si="3"/>
        <v>0</v>
      </c>
      <c r="Z18" s="112">
        <f t="shared" ca="1" si="3"/>
        <v>0</v>
      </c>
      <c r="AA18" s="112">
        <f t="shared" ca="1" si="3"/>
        <v>0</v>
      </c>
      <c r="AB18" s="112">
        <f t="shared" ca="1" si="3"/>
        <v>0</v>
      </c>
      <c r="AC18" s="112">
        <f t="shared" ca="1" si="3"/>
        <v>0</v>
      </c>
      <c r="AD18" s="112">
        <f t="shared" ca="1" si="3"/>
        <v>0</v>
      </c>
      <c r="AE18" s="112">
        <f t="shared" ca="1" si="3"/>
        <v>0</v>
      </c>
      <c r="AF18" s="112">
        <f t="shared" ca="1" si="3"/>
        <v>0</v>
      </c>
      <c r="AG18" s="112">
        <f t="shared" ca="1" si="3"/>
        <v>0</v>
      </c>
      <c r="AH18" s="112">
        <f t="shared" ca="1" si="3"/>
        <v>0</v>
      </c>
      <c r="AI18" s="112">
        <f t="shared" ca="1" si="3"/>
        <v>0</v>
      </c>
      <c r="AJ18" s="112">
        <f t="shared" ca="1" si="3"/>
        <v>0</v>
      </c>
      <c r="AK18" s="112">
        <f t="shared" ca="1" si="3"/>
        <v>0</v>
      </c>
      <c r="AL18" s="112">
        <f t="shared" ca="1" si="3"/>
        <v>0</v>
      </c>
      <c r="AM18" s="112">
        <f t="shared" ca="1" si="3"/>
        <v>0</v>
      </c>
      <c r="AN18" s="112">
        <f t="shared" ca="1" si="3"/>
        <v>0</v>
      </c>
      <c r="AO18" s="112">
        <f t="shared" ca="1" si="3"/>
        <v>0</v>
      </c>
      <c r="AP18" s="112">
        <f t="shared" ca="1" si="3"/>
        <v>0</v>
      </c>
      <c r="AQ18" s="112">
        <f t="shared" ca="1" si="3"/>
        <v>0</v>
      </c>
      <c r="AR18" s="112">
        <f t="shared" ca="1" si="3"/>
        <v>0</v>
      </c>
      <c r="AS18" s="112">
        <f t="shared" ca="1" si="3"/>
        <v>0</v>
      </c>
      <c r="AT18" s="113">
        <f t="shared" ca="1" si="3"/>
        <v>0</v>
      </c>
      <c r="AY18" s="68"/>
    </row>
    <row r="19" spans="1:51" s="67" customFormat="1" ht="12.75" customHeight="1" x14ac:dyDescent="0.2">
      <c r="A19" s="108">
        <f ca="1">OFFSET(A19,-2,0)+1</f>
        <v>4</v>
      </c>
      <c r="B19" s="108">
        <f ca="1">MATCH(A19,OFFSET(PO!$W$15,0,0,PO!$J$15),0)-1</f>
        <v>6</v>
      </c>
      <c r="C19" s="372" t="str">
        <f ca="1">IF(ISERROR($B19),"",OFFSET(PO!$L$15,$B19,0))</f>
        <v>2.1</v>
      </c>
      <c r="D19" s="376" t="str">
        <f ca="1">IF(ISERROR($B19),"",OFFSET(PO!$L$15,$B19,3))</f>
        <v>cobertura</v>
      </c>
      <c r="E19" s="377">
        <f ca="1">IF(ISERROR($B19),0,OFFSET(PO!$L$15,$B19,9))</f>
        <v>28625.52</v>
      </c>
      <c r="F19" s="114" t="s">
        <v>7</v>
      </c>
      <c r="G19" s="119">
        <f ca="1">G20</f>
        <v>0</v>
      </c>
      <c r="H19" s="119">
        <f ca="1">IF(MAX($G20:$AT20)=0,"",IF(MATCH(MAX($G20:$AT20),$G20:$AT20,0)&lt;COUNTA($G$12:H$12),"",MAX($G20:H20)-MAX($G20:G20)))</f>
        <v>0</v>
      </c>
      <c r="I19" s="119">
        <f ca="1">IF(MAX($G20:$AT20)=0,"",IF(MATCH(MAX($G20:$AT20),$G20:$AT20,0)&lt;COUNTA($G$12:I$12),"",MAX($G20:I20)-MAX($G20:H20)))</f>
        <v>1</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7"/>
      <c r="D20" s="369"/>
      <c r="E20" s="371"/>
      <c r="F20" s="111" t="s">
        <v>9</v>
      </c>
      <c r="G20" s="112">
        <f ca="1">IF(ISNUMBER(VALUE($C19)),SUMPRODUCT(OFFSET(G20,2,0,COUNTIF($C$13:$C$42,$C19&amp;".*")*2-1),OFFSET($E19,2,0,COUNTIF($C$13:$C$42,$C19&amp;".*")*2-1))/$E19,0)</f>
        <v>0</v>
      </c>
      <c r="H20" s="112">
        <f t="shared" ref="H20:AT20" ca="1" si="4">IF(ISNUMBER(VALUE($C19)),SUMPRODUCT(OFFSET(H20,2,0,COUNTIF($C$13:$C$42,$C19&amp;".*")*2-1),OFFSET($E19,2,0,COUNTIF($C$13:$C$42,$C19&amp;".*")*2-1))/$E19,G20)</f>
        <v>0</v>
      </c>
      <c r="I20" s="112">
        <v>1</v>
      </c>
      <c r="J20" s="112">
        <v>0</v>
      </c>
      <c r="K20" s="112">
        <v>0</v>
      </c>
      <c r="L20" s="112">
        <v>0</v>
      </c>
      <c r="M20" s="112">
        <v>0</v>
      </c>
      <c r="N20" s="112">
        <v>0</v>
      </c>
      <c r="O20" s="112">
        <v>0</v>
      </c>
      <c r="P20" s="112">
        <v>0</v>
      </c>
      <c r="Q20" s="112">
        <v>0</v>
      </c>
      <c r="R20" s="112">
        <f t="shared" ca="1" si="4"/>
        <v>0</v>
      </c>
      <c r="S20" s="112">
        <f t="shared" ca="1" si="4"/>
        <v>0</v>
      </c>
      <c r="T20" s="112">
        <f t="shared" ca="1" si="4"/>
        <v>0</v>
      </c>
      <c r="U20" s="112">
        <f t="shared" ca="1" si="4"/>
        <v>0</v>
      </c>
      <c r="V20" s="112">
        <f t="shared" ca="1" si="4"/>
        <v>0</v>
      </c>
      <c r="W20" s="112">
        <f t="shared" ca="1" si="4"/>
        <v>0</v>
      </c>
      <c r="X20" s="112">
        <v>0</v>
      </c>
      <c r="Y20" s="112">
        <v>0</v>
      </c>
      <c r="Z20" s="112">
        <v>0</v>
      </c>
      <c r="AA20" s="112">
        <v>0</v>
      </c>
      <c r="AB20" s="112">
        <v>0</v>
      </c>
      <c r="AC20" s="112">
        <v>0</v>
      </c>
      <c r="AD20" s="112">
        <v>0</v>
      </c>
      <c r="AE20" s="112">
        <v>0</v>
      </c>
      <c r="AF20" s="112">
        <v>0</v>
      </c>
      <c r="AG20" s="112">
        <v>0</v>
      </c>
      <c r="AH20" s="112">
        <f t="shared" ca="1" si="4"/>
        <v>0</v>
      </c>
      <c r="AI20" s="112">
        <f t="shared" ca="1" si="4"/>
        <v>0</v>
      </c>
      <c r="AJ20" s="112">
        <f t="shared" ca="1" si="4"/>
        <v>0</v>
      </c>
      <c r="AK20" s="112">
        <f t="shared" ca="1" si="4"/>
        <v>0</v>
      </c>
      <c r="AL20" s="112">
        <v>0</v>
      </c>
      <c r="AM20" s="112">
        <f t="shared" ca="1" si="4"/>
        <v>0</v>
      </c>
      <c r="AN20" s="112">
        <f t="shared" ca="1" si="4"/>
        <v>0</v>
      </c>
      <c r="AO20" s="112">
        <f t="shared" ca="1" si="4"/>
        <v>0</v>
      </c>
      <c r="AP20" s="112">
        <f t="shared" ca="1" si="4"/>
        <v>0</v>
      </c>
      <c r="AQ20" s="112">
        <f t="shared" ca="1" si="4"/>
        <v>0</v>
      </c>
      <c r="AR20" s="112">
        <f t="shared" ca="1" si="4"/>
        <v>0</v>
      </c>
      <c r="AS20" s="112">
        <f t="shared" ca="1" si="4"/>
        <v>0</v>
      </c>
      <c r="AT20" s="113">
        <f t="shared" ca="1" si="4"/>
        <v>0</v>
      </c>
      <c r="AY20" s="68"/>
    </row>
    <row r="21" spans="1:51" s="67" customFormat="1" ht="12.75" customHeight="1" x14ac:dyDescent="0.2">
      <c r="A21" s="108">
        <f ca="1">OFFSET(A21,-2,0)+1</f>
        <v>5</v>
      </c>
      <c r="B21" s="108">
        <f ca="1">MATCH(A21,OFFSET(PO!$W$15,0,0,PO!$J$15),0)-1</f>
        <v>9</v>
      </c>
      <c r="C21" s="366" t="str">
        <f ca="1">IF(ISERROR($B21),"",OFFSET(PO!$L$15,$B21,0))</f>
        <v>3</v>
      </c>
      <c r="D21" s="368" t="str">
        <f ca="1">IF(ISERROR($B21),"",OFFSET(PO!$L$15,$B21,3))</f>
        <v>esquadrias</v>
      </c>
      <c r="E21" s="370">
        <f ca="1">IF(ISERROR($B21),0,OFFSET(PO!$L$15,$B21,9))</f>
        <v>4456.71</v>
      </c>
      <c r="F21" s="109" t="s">
        <v>7</v>
      </c>
      <c r="G21" s="121">
        <f ca="1">G22</f>
        <v>0</v>
      </c>
      <c r="H21" s="121">
        <f ca="1">IF(MAX($G22:$AT22)=0,"",IF(MATCH(MAX($G22:$AT22),$G22:$AT22,0)&lt;COUNTA($G$12:H$12),"",MAX($G22:H22)-MAX($G22:G22)))</f>
        <v>0</v>
      </c>
      <c r="I21" s="121">
        <f ca="1">IF(MAX($G22:$AT22)=0,"",IF(MATCH(MAX($G22:$AT22),$G22:$AT22,0)&lt;COUNTA($G$12:I$12),"",MAX($G22:I22)-MAX($G22:H22)))</f>
        <v>1</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7"/>
      <c r="D22" s="369"/>
      <c r="E22" s="371"/>
      <c r="F22" s="111" t="s">
        <v>9</v>
      </c>
      <c r="G22" s="112">
        <f ca="1">IF(ISNUMBER(VALUE($C21)),SUMPRODUCT(OFFSET(G22,2,0,COUNTIF($C$13:$C$42,$C21&amp;".*")*2-1),OFFSET($E21,2,0,COUNTIF($C$13:$C$42,$C21&amp;".*")*2-1))/$E21,0)</f>
        <v>0</v>
      </c>
      <c r="H22" s="112">
        <f t="shared" ref="H22:AT22" ca="1" si="5">IF(ISNUMBER(VALUE($C21)),SUMPRODUCT(OFFSET(H22,2,0,COUNTIF($C$13:$C$42,$C21&amp;".*")*2-1),OFFSET($E21,2,0,COUNTIF($C$13:$C$42,$C21&amp;".*")*2-1))/$E21,G22)</f>
        <v>0</v>
      </c>
      <c r="I22" s="112">
        <f t="shared" ca="1" si="5"/>
        <v>1</v>
      </c>
      <c r="J22" s="112">
        <f t="shared" ca="1" si="5"/>
        <v>1</v>
      </c>
      <c r="K22" s="112">
        <f t="shared" ca="1" si="5"/>
        <v>1</v>
      </c>
      <c r="L22" s="112">
        <f t="shared" ca="1" si="5"/>
        <v>1</v>
      </c>
      <c r="M22" s="112">
        <f t="shared" ca="1" si="5"/>
        <v>1</v>
      </c>
      <c r="N22" s="112">
        <f t="shared" ca="1" si="5"/>
        <v>1</v>
      </c>
      <c r="O22" s="112">
        <f t="shared" ca="1" si="5"/>
        <v>1</v>
      </c>
      <c r="P22" s="112">
        <f t="shared" ca="1" si="5"/>
        <v>1</v>
      </c>
      <c r="Q22" s="112">
        <f t="shared" ca="1" si="5"/>
        <v>1</v>
      </c>
      <c r="R22" s="112">
        <f t="shared" ca="1" si="5"/>
        <v>1</v>
      </c>
      <c r="S22" s="112">
        <f t="shared" ca="1" si="5"/>
        <v>1</v>
      </c>
      <c r="T22" s="112">
        <f t="shared" ca="1" si="5"/>
        <v>1</v>
      </c>
      <c r="U22" s="112">
        <f t="shared" ca="1" si="5"/>
        <v>1</v>
      </c>
      <c r="V22" s="112">
        <f t="shared" ca="1" si="5"/>
        <v>1</v>
      </c>
      <c r="W22" s="112">
        <f t="shared" ca="1" si="5"/>
        <v>1</v>
      </c>
      <c r="X22" s="112">
        <f t="shared" ca="1" si="5"/>
        <v>1</v>
      </c>
      <c r="Y22" s="112">
        <f t="shared" ca="1" si="5"/>
        <v>1</v>
      </c>
      <c r="Z22" s="112">
        <f t="shared" ca="1" si="5"/>
        <v>1</v>
      </c>
      <c r="AA22" s="112">
        <f t="shared" ca="1" si="5"/>
        <v>1</v>
      </c>
      <c r="AB22" s="112">
        <f t="shared" ca="1" si="5"/>
        <v>1</v>
      </c>
      <c r="AC22" s="112">
        <f t="shared" ca="1" si="5"/>
        <v>1</v>
      </c>
      <c r="AD22" s="112">
        <f t="shared" ca="1" si="5"/>
        <v>1</v>
      </c>
      <c r="AE22" s="112">
        <f t="shared" ca="1" si="5"/>
        <v>1</v>
      </c>
      <c r="AF22" s="112">
        <f t="shared" ca="1" si="5"/>
        <v>1</v>
      </c>
      <c r="AG22" s="112">
        <f t="shared" ca="1" si="5"/>
        <v>1</v>
      </c>
      <c r="AH22" s="112">
        <f t="shared" ca="1" si="5"/>
        <v>1</v>
      </c>
      <c r="AI22" s="112">
        <f t="shared" ca="1" si="5"/>
        <v>1</v>
      </c>
      <c r="AJ22" s="112">
        <f t="shared" ca="1" si="5"/>
        <v>1</v>
      </c>
      <c r="AK22" s="112">
        <f t="shared" ca="1" si="5"/>
        <v>1</v>
      </c>
      <c r="AL22" s="112">
        <f t="shared" ca="1" si="5"/>
        <v>1</v>
      </c>
      <c r="AM22" s="112">
        <f t="shared" ca="1" si="5"/>
        <v>1</v>
      </c>
      <c r="AN22" s="112">
        <f t="shared" ca="1" si="5"/>
        <v>1</v>
      </c>
      <c r="AO22" s="112">
        <f t="shared" ca="1" si="5"/>
        <v>1</v>
      </c>
      <c r="AP22" s="112">
        <f t="shared" ca="1" si="5"/>
        <v>1</v>
      </c>
      <c r="AQ22" s="112">
        <f t="shared" ca="1" si="5"/>
        <v>1</v>
      </c>
      <c r="AR22" s="112">
        <f t="shared" ca="1" si="5"/>
        <v>1</v>
      </c>
      <c r="AS22" s="112">
        <f t="shared" ca="1" si="5"/>
        <v>1</v>
      </c>
      <c r="AT22" s="113">
        <f t="shared" ca="1" si="5"/>
        <v>1</v>
      </c>
      <c r="AY22" s="68"/>
    </row>
    <row r="23" spans="1:51" s="67" customFormat="1" ht="12.75" customHeight="1" x14ac:dyDescent="0.2">
      <c r="A23" s="108">
        <f ca="1">OFFSET(A23,-2,0)+1</f>
        <v>6</v>
      </c>
      <c r="B23" s="108">
        <f ca="1">MATCH(A23,OFFSET(PO!$W$15,0,0,PO!$J$15),0)-1</f>
        <v>10</v>
      </c>
      <c r="C23" s="372" t="str">
        <f ca="1">IF(ISERROR($B23),"",OFFSET(PO!$L$15,$B23,0))</f>
        <v>3.1</v>
      </c>
      <c r="D23" s="376" t="str">
        <f ca="1">IF(ISERROR($B23),"",OFFSET(PO!$L$15,$B23,3))</f>
        <v>esquadrias</v>
      </c>
      <c r="E23" s="377">
        <f ca="1">IF(ISERROR($B23),0,OFFSET(PO!$L$15,$B23,9))</f>
        <v>4456.71</v>
      </c>
      <c r="F23" s="114" t="s">
        <v>7</v>
      </c>
      <c r="G23" s="119">
        <f ca="1">G24</f>
        <v>0</v>
      </c>
      <c r="H23" s="119">
        <f ca="1">IF(MAX($G24:$AT24)=0,"",IF(MATCH(MAX($G24:$AT24),$G24:$AT24,0)&lt;COUNTA($G$12:H$12),"",MAX($G24:H24)-MAX($G24:G24)))</f>
        <v>0</v>
      </c>
      <c r="I23" s="119">
        <f ca="1">IF(MAX($G24:$AT24)=0,"",IF(MATCH(MAX($G24:$AT24),$G24:$AT24,0)&lt;COUNTA($G$12:I$12),"",MAX($G24:I24)-MAX($G24:H24)))</f>
        <v>1</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7"/>
      <c r="D24" s="369"/>
      <c r="E24" s="371"/>
      <c r="F24" s="111" t="s">
        <v>9</v>
      </c>
      <c r="G24" s="112">
        <f ca="1">IF(ISNUMBER(VALUE($C23)),SUMPRODUCT(OFFSET(G24,2,0,COUNTIF($C$13:$C$42,$C23&amp;".*")*2-1),OFFSET($E23,2,0,COUNTIF($C$13:$C$42,$C23&amp;".*")*2-1))/$E23,0)</f>
        <v>0</v>
      </c>
      <c r="H24" s="112">
        <f t="shared" ref="H24:AT24" ca="1" si="6">IF(ISNUMBER(VALUE($C23)),SUMPRODUCT(OFFSET(H24,2,0,COUNTIF($C$13:$C$42,$C23&amp;".*")*2-1),OFFSET($E23,2,0,COUNTIF($C$13:$C$42,$C23&amp;".*")*2-1))/$E23,G24)</f>
        <v>0</v>
      </c>
      <c r="I24" s="112">
        <v>1</v>
      </c>
      <c r="J24" s="112">
        <f t="shared" ca="1" si="6"/>
        <v>1</v>
      </c>
      <c r="K24" s="112">
        <f t="shared" ca="1" si="6"/>
        <v>1</v>
      </c>
      <c r="L24" s="112">
        <f t="shared" ca="1" si="6"/>
        <v>1</v>
      </c>
      <c r="M24" s="112">
        <f t="shared" ca="1" si="6"/>
        <v>1</v>
      </c>
      <c r="N24" s="112">
        <f t="shared" ca="1" si="6"/>
        <v>1</v>
      </c>
      <c r="O24" s="112">
        <f t="shared" ca="1" si="6"/>
        <v>1</v>
      </c>
      <c r="P24" s="112">
        <f t="shared" ca="1" si="6"/>
        <v>1</v>
      </c>
      <c r="Q24" s="112">
        <f t="shared" ca="1" si="6"/>
        <v>1</v>
      </c>
      <c r="R24" s="112">
        <f t="shared" ca="1" si="6"/>
        <v>1</v>
      </c>
      <c r="S24" s="112">
        <f t="shared" ca="1" si="6"/>
        <v>1</v>
      </c>
      <c r="T24" s="112">
        <f t="shared" ca="1" si="6"/>
        <v>1</v>
      </c>
      <c r="U24" s="112">
        <f t="shared" ca="1" si="6"/>
        <v>1</v>
      </c>
      <c r="V24" s="112">
        <f t="shared" ca="1" si="6"/>
        <v>1</v>
      </c>
      <c r="W24" s="112">
        <f t="shared" ca="1" si="6"/>
        <v>1</v>
      </c>
      <c r="X24" s="112">
        <f t="shared" ca="1" si="6"/>
        <v>1</v>
      </c>
      <c r="Y24" s="112">
        <f t="shared" ca="1" si="6"/>
        <v>1</v>
      </c>
      <c r="Z24" s="112">
        <f t="shared" ca="1" si="6"/>
        <v>1</v>
      </c>
      <c r="AA24" s="112">
        <f t="shared" ca="1" si="6"/>
        <v>1</v>
      </c>
      <c r="AB24" s="112">
        <f t="shared" ca="1" si="6"/>
        <v>1</v>
      </c>
      <c r="AC24" s="112">
        <f t="shared" ca="1" si="6"/>
        <v>1</v>
      </c>
      <c r="AD24" s="112">
        <f t="shared" ca="1" si="6"/>
        <v>1</v>
      </c>
      <c r="AE24" s="112">
        <f t="shared" ca="1" si="6"/>
        <v>1</v>
      </c>
      <c r="AF24" s="112">
        <f t="shared" ca="1" si="6"/>
        <v>1</v>
      </c>
      <c r="AG24" s="112">
        <f t="shared" ca="1" si="6"/>
        <v>1</v>
      </c>
      <c r="AH24" s="112">
        <f t="shared" ca="1" si="6"/>
        <v>1</v>
      </c>
      <c r="AI24" s="112">
        <f t="shared" ca="1" si="6"/>
        <v>1</v>
      </c>
      <c r="AJ24" s="112">
        <f t="shared" ca="1" si="6"/>
        <v>1</v>
      </c>
      <c r="AK24" s="112">
        <f t="shared" ca="1" si="6"/>
        <v>1</v>
      </c>
      <c r="AL24" s="112">
        <f t="shared" ca="1" si="6"/>
        <v>1</v>
      </c>
      <c r="AM24" s="112">
        <f t="shared" ca="1" si="6"/>
        <v>1</v>
      </c>
      <c r="AN24" s="112">
        <f t="shared" ca="1" si="6"/>
        <v>1</v>
      </c>
      <c r="AO24" s="112">
        <f t="shared" ca="1" si="6"/>
        <v>1</v>
      </c>
      <c r="AP24" s="112">
        <f t="shared" ca="1" si="6"/>
        <v>1</v>
      </c>
      <c r="AQ24" s="112">
        <f t="shared" ca="1" si="6"/>
        <v>1</v>
      </c>
      <c r="AR24" s="112">
        <f t="shared" ca="1" si="6"/>
        <v>1</v>
      </c>
      <c r="AS24" s="112">
        <f t="shared" ca="1" si="6"/>
        <v>1</v>
      </c>
      <c r="AT24" s="113">
        <f t="shared" ca="1" si="6"/>
        <v>1</v>
      </c>
      <c r="AY24" s="68"/>
    </row>
    <row r="25" spans="1:51" s="67" customFormat="1" ht="12.75" customHeight="1" x14ac:dyDescent="0.2">
      <c r="A25" s="108">
        <f ca="1">OFFSET(A25,-2,0)+1</f>
        <v>7</v>
      </c>
      <c r="B25" s="108">
        <f ca="1">MATCH(A25,OFFSET(PO!$W$15,0,0,PO!$J$15),0)-1</f>
        <v>14</v>
      </c>
      <c r="C25" s="366" t="str">
        <f ca="1">IF(ISERROR($B25),"",OFFSET(PO!$L$15,$B25,0))</f>
        <v>4</v>
      </c>
      <c r="D25" s="368" t="str">
        <f ca="1">IF(ISERROR($B25),"",OFFSET(PO!$L$15,$B25,3))</f>
        <v>revestimento</v>
      </c>
      <c r="E25" s="370">
        <f ca="1">IF(ISERROR($B25),0,OFFSET(PO!$L$15,$B25,9))</f>
        <v>1603.8</v>
      </c>
      <c r="F25" s="109" t="s">
        <v>7</v>
      </c>
      <c r="G25" s="121">
        <f ca="1">G26</f>
        <v>0</v>
      </c>
      <c r="H25" s="121">
        <f ca="1">IF(MAX($G26:$AT26)=0,"",IF(MATCH(MAX($G26:$AT26),$G26:$AT26,0)&lt;COUNTA($G$12:H$12),"",MAX($G26:H26)-MAX($G26:G26)))</f>
        <v>0</v>
      </c>
      <c r="I25" s="121">
        <f ca="1">IF(MAX($G26:$AT26)=0,"",IF(MATCH(MAX($G26:$AT26),$G26:$AT26,0)&lt;COUNTA($G$12:I$12),"",MAX($G26:I26)-MAX($G26:H26)))</f>
        <v>1</v>
      </c>
      <c r="J25" s="121">
        <f ca="1">IF(MAX($G26:$AT26)=0,"",IF(MATCH(MAX($G26:$AT26),$G26:$AT26,0)&lt;COUNTA($G$12:J$12),"",MAX($G26:J26)-MAX($G26:I26)))</f>
        <v>1000.0000000000001</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7"/>
      <c r="D26" s="369"/>
      <c r="E26" s="371"/>
      <c r="F26" s="111" t="s">
        <v>9</v>
      </c>
      <c r="G26" s="112">
        <f ca="1">IF(ISNUMBER(VALUE($C25)),SUMPRODUCT(OFFSET(G26,2,0,COUNTIF($C$13:$C$42,$C25&amp;".*")*2-1),OFFSET($E25,2,0,COUNTIF($C$13:$C$42,$C25&amp;".*")*2-1))/$E25,0)</f>
        <v>0</v>
      </c>
      <c r="H26" s="112">
        <f t="shared" ref="H26:AT26" ca="1" si="7">IF(ISNUMBER(VALUE($C25)),SUMPRODUCT(OFFSET(H26,2,0,COUNTIF($C$13:$C$42,$C25&amp;".*")*2-1),OFFSET($E25,2,0,COUNTIF($C$13:$C$42,$C25&amp;".*")*2-1))/$E25,G26)</f>
        <v>0</v>
      </c>
      <c r="I26" s="112">
        <f t="shared" ca="1" si="7"/>
        <v>1</v>
      </c>
      <c r="J26" s="112">
        <f t="shared" ca="1" si="7"/>
        <v>1001.0000000000001</v>
      </c>
      <c r="K26" s="112">
        <f t="shared" ca="1" si="7"/>
        <v>0</v>
      </c>
      <c r="L26" s="112">
        <f t="shared" ca="1" si="7"/>
        <v>0</v>
      </c>
      <c r="M26" s="112">
        <f t="shared" ca="1" si="7"/>
        <v>0</v>
      </c>
      <c r="N26" s="112">
        <f t="shared" ca="1" si="7"/>
        <v>0</v>
      </c>
      <c r="O26" s="112">
        <f t="shared" ca="1" si="7"/>
        <v>0</v>
      </c>
      <c r="P26" s="112">
        <f t="shared" ca="1" si="7"/>
        <v>0</v>
      </c>
      <c r="Q26" s="112">
        <f t="shared" ca="1" si="7"/>
        <v>0</v>
      </c>
      <c r="R26" s="112">
        <f t="shared" ca="1" si="7"/>
        <v>0</v>
      </c>
      <c r="S26" s="112">
        <f t="shared" ca="1" si="7"/>
        <v>0</v>
      </c>
      <c r="T26" s="112">
        <f t="shared" ca="1" si="7"/>
        <v>0</v>
      </c>
      <c r="U26" s="112">
        <f t="shared" ca="1" si="7"/>
        <v>0</v>
      </c>
      <c r="V26" s="112">
        <f t="shared" ca="1" si="7"/>
        <v>0</v>
      </c>
      <c r="W26" s="112">
        <f t="shared" ca="1" si="7"/>
        <v>0</v>
      </c>
      <c r="X26" s="112">
        <f t="shared" ca="1" si="7"/>
        <v>0</v>
      </c>
      <c r="Y26" s="112">
        <f t="shared" ca="1" si="7"/>
        <v>0</v>
      </c>
      <c r="Z26" s="112">
        <f t="shared" ca="1" si="7"/>
        <v>0</v>
      </c>
      <c r="AA26" s="112">
        <f t="shared" ca="1" si="7"/>
        <v>0</v>
      </c>
      <c r="AB26" s="112">
        <f t="shared" ca="1" si="7"/>
        <v>0</v>
      </c>
      <c r="AC26" s="112">
        <f t="shared" ca="1" si="7"/>
        <v>0</v>
      </c>
      <c r="AD26" s="112">
        <f t="shared" ca="1" si="7"/>
        <v>0</v>
      </c>
      <c r="AE26" s="112">
        <f t="shared" ca="1" si="7"/>
        <v>0</v>
      </c>
      <c r="AF26" s="112">
        <f t="shared" ca="1" si="7"/>
        <v>0</v>
      </c>
      <c r="AG26" s="112">
        <f t="shared" ca="1" si="7"/>
        <v>0</v>
      </c>
      <c r="AH26" s="112">
        <f t="shared" ca="1" si="7"/>
        <v>0</v>
      </c>
      <c r="AI26" s="112">
        <f t="shared" ca="1" si="7"/>
        <v>0</v>
      </c>
      <c r="AJ26" s="112">
        <f t="shared" ca="1" si="7"/>
        <v>0</v>
      </c>
      <c r="AK26" s="112">
        <f t="shared" ca="1" si="7"/>
        <v>0</v>
      </c>
      <c r="AL26" s="112">
        <f t="shared" ca="1" si="7"/>
        <v>0</v>
      </c>
      <c r="AM26" s="112">
        <f t="shared" ca="1" si="7"/>
        <v>0</v>
      </c>
      <c r="AN26" s="112">
        <f t="shared" ca="1" si="7"/>
        <v>0</v>
      </c>
      <c r="AO26" s="112">
        <f t="shared" ca="1" si="7"/>
        <v>0</v>
      </c>
      <c r="AP26" s="112">
        <f t="shared" ca="1" si="7"/>
        <v>0</v>
      </c>
      <c r="AQ26" s="112">
        <f t="shared" ca="1" si="7"/>
        <v>0</v>
      </c>
      <c r="AR26" s="112">
        <f t="shared" ca="1" si="7"/>
        <v>0</v>
      </c>
      <c r="AS26" s="112">
        <f t="shared" ca="1" si="7"/>
        <v>0</v>
      </c>
      <c r="AT26" s="113">
        <f t="shared" ca="1" si="7"/>
        <v>0</v>
      </c>
      <c r="AY26" s="68"/>
    </row>
    <row r="27" spans="1:51" s="67" customFormat="1" ht="12.75" customHeight="1" x14ac:dyDescent="0.2">
      <c r="A27" s="108">
        <f ca="1">OFFSET(A27,-2,0)+1</f>
        <v>8</v>
      </c>
      <c r="B27" s="108">
        <f ca="1">MATCH(A27,OFFSET(PO!$W$15,0,0,PO!$J$15),0)-1</f>
        <v>15</v>
      </c>
      <c r="C27" s="372" t="str">
        <f ca="1">IF(ISERROR($B27),"",OFFSET(PO!$L$15,$B27,0))</f>
        <v>4.1</v>
      </c>
      <c r="D27" s="376" t="str">
        <f ca="1">IF(ISERROR($B27),"",OFFSET(PO!$L$15,$B27,3))</f>
        <v>revestimento</v>
      </c>
      <c r="E27" s="377">
        <f ca="1">IF(ISERROR($B27),0,OFFSET(PO!$L$15,$B27,9))</f>
        <v>1603.8</v>
      </c>
      <c r="F27" s="114" t="s">
        <v>7</v>
      </c>
      <c r="G27" s="119">
        <f>G28</f>
        <v>0</v>
      </c>
      <c r="H27" s="119">
        <f>IF(MAX($G28:$AT28)=0,"",IF(MATCH(MAX($G28:$AT28),$G28:$AT28,0)&lt;COUNTA($G$12:H$12),"",MAX($G28:H28)-MAX($G28:G28)))</f>
        <v>0</v>
      </c>
      <c r="I27" s="119">
        <f>IF(MAX($G28:$AT28)=0,"",IF(MATCH(MAX($G28:$AT28),$G28:$AT28,0)&lt;COUNTA($G$12:I$12),"",MAX($G28:I28)-MAX($G28:H28)))</f>
        <v>1</v>
      </c>
      <c r="J27" s="119">
        <f>IF(MAX($G28:$AT28)=0,"",IF(MATCH(MAX($G28:$AT28),$G28:$AT28,0)&lt;COUNTA($G$12:J$12),"",MAX($G28:J28)-MAX($G28:I28)))</f>
        <v>1000</v>
      </c>
      <c r="K27" s="119" t="str">
        <f>IF(MAX($G28:$AT28)=0,"",IF(MATCH(MAX($G28:$AT28),$G28:$AT28,0)&lt;COUNTA($G$12:K$12),"",MAX($G28:K28)-MAX($G28:J28)))</f>
        <v/>
      </c>
      <c r="L27" s="119" t="str">
        <f>IF(MAX($G28:$AT28)=0,"",IF(MATCH(MAX($G28:$AT28),$G28:$AT28,0)&lt;COUNTA($G$12:L$12),"",MAX($G28:L28)-MAX($G28:K28)))</f>
        <v/>
      </c>
      <c r="M27" s="119" t="str">
        <f>IF(MAX($G28:$AT28)=0,"",IF(MATCH(MAX($G28:$AT28),$G28:$AT28,0)&lt;COUNTA($G$12:M$12),"",MAX($G28:M28)-MAX($G28:L28)))</f>
        <v/>
      </c>
      <c r="N27" s="119" t="str">
        <f>IF(MAX($G28:$AT28)=0,"",IF(MATCH(MAX($G28:$AT28),$G28:$AT28,0)&lt;COUNTA($G$12:N$12),"",MAX($G28:N28)-MAX($G28:M28)))</f>
        <v/>
      </c>
      <c r="O27" s="119" t="str">
        <f>IF(MAX($G28:$AT28)=0,"",IF(MATCH(MAX($G28:$AT28),$G28:$AT28,0)&lt;COUNTA($G$12:O$12),"",MAX($G28:O28)-MAX($G28:N28)))</f>
        <v/>
      </c>
      <c r="P27" s="119" t="str">
        <f>IF(MAX($G28:$AT28)=0,"",IF(MATCH(MAX($G28:$AT28),$G28:$AT28,0)&lt;COUNTA($G$12:P$12),"",MAX($G28:P28)-MAX($G28:O28)))</f>
        <v/>
      </c>
      <c r="Q27" s="119" t="str">
        <f>IF(MAX($G28:$AT28)=0,"",IF(MATCH(MAX($G28:$AT28),$G28:$AT28,0)&lt;COUNTA($G$12:Q$12),"",MAX($G28:Q28)-MAX($G28:P28)))</f>
        <v/>
      </c>
      <c r="R27" s="119" t="str">
        <f>IF(MAX($G28:$AT28)=0,"",IF(MATCH(MAX($G28:$AT28),$G28:$AT28,0)&lt;COUNTA($G$12:R$12),"",MAX($G28:R28)-MAX($G28:Q28)))</f>
        <v/>
      </c>
      <c r="S27" s="119" t="str">
        <f>IF(MAX($G28:$AT28)=0,"",IF(MATCH(MAX($G28:$AT28),$G28:$AT28,0)&lt;COUNTA($G$12:S$12),"",MAX($G28:S28)-MAX($G28:R28)))</f>
        <v/>
      </c>
      <c r="T27" s="119" t="str">
        <f>IF(MAX($G28:$AT28)=0,"",IF(MATCH(MAX($G28:$AT28),$G28:$AT28,0)&lt;COUNTA($G$12:T$12),"",MAX($G28:T28)-MAX($G28:S28)))</f>
        <v/>
      </c>
      <c r="U27" s="119" t="str">
        <f>IF(MAX($G28:$AT28)=0,"",IF(MATCH(MAX($G28:$AT28),$G28:$AT28,0)&lt;COUNTA($G$12:U$12),"",MAX($G28:U28)-MAX($G28:T28)))</f>
        <v/>
      </c>
      <c r="V27" s="119" t="str">
        <f>IF(MAX($G28:$AT28)=0,"",IF(MATCH(MAX($G28:$AT28),$G28:$AT28,0)&lt;COUNTA($G$12:V$12),"",MAX($G28:V28)-MAX($G28:U28)))</f>
        <v/>
      </c>
      <c r="W27" s="119" t="str">
        <f>IF(MAX($G28:$AT28)=0,"",IF(MATCH(MAX($G28:$AT28),$G28:$AT28,0)&lt;COUNTA($G$12:W$12),"",MAX($G28:W28)-MAX($G28:V28)))</f>
        <v/>
      </c>
      <c r="X27" s="119" t="str">
        <f>IF(MAX($G28:$AT28)=0,"",IF(MATCH(MAX($G28:$AT28),$G28:$AT28,0)&lt;COUNTA($G$12:X$12),"",MAX($G28:X28)-MAX($G28:W28)))</f>
        <v/>
      </c>
      <c r="Y27" s="119" t="str">
        <f>IF(MAX($G28:$AT28)=0,"",IF(MATCH(MAX($G28:$AT28),$G28:$AT28,0)&lt;COUNTA($G$12:Y$12),"",MAX($G28:Y28)-MAX($G28:X28)))</f>
        <v/>
      </c>
      <c r="Z27" s="119" t="str">
        <f>IF(MAX($G28:$AT28)=0,"",IF(MATCH(MAX($G28:$AT28),$G28:$AT28,0)&lt;COUNTA($G$12:Z$12),"",MAX($G28:Z28)-MAX($G28:Y28)))</f>
        <v/>
      </c>
      <c r="AA27" s="119" t="str">
        <f>IF(MAX($G28:$AT28)=0,"",IF(MATCH(MAX($G28:$AT28),$G28:$AT28,0)&lt;COUNTA($G$12:AA$12),"",MAX($G28:AA28)-MAX($G28:Z28)))</f>
        <v/>
      </c>
      <c r="AB27" s="119" t="str">
        <f>IF(MAX($G28:$AT28)=0,"",IF(MATCH(MAX($G28:$AT28),$G28:$AT28,0)&lt;COUNTA($G$12:AB$12),"",MAX($G28:AB28)-MAX($G28:AA28)))</f>
        <v/>
      </c>
      <c r="AC27" s="119" t="str">
        <f>IF(MAX($G28:$AT28)=0,"",IF(MATCH(MAX($G28:$AT28),$G28:$AT28,0)&lt;COUNTA($G$12:AC$12),"",MAX($G28:AC28)-MAX($G28:AB28)))</f>
        <v/>
      </c>
      <c r="AD27" s="119" t="str">
        <f>IF(MAX($G28:$AT28)=0,"",IF(MATCH(MAX($G28:$AT28),$G28:$AT28,0)&lt;COUNTA($G$12:AD$12),"",MAX($G28:AD28)-MAX($G28:AC28)))</f>
        <v/>
      </c>
      <c r="AE27" s="119" t="str">
        <f>IF(MAX($G28:$AT28)=0,"",IF(MATCH(MAX($G28:$AT28),$G28:$AT28,0)&lt;COUNTA($G$12:AE$12),"",MAX($G28:AE28)-MAX($G28:AD28)))</f>
        <v/>
      </c>
      <c r="AF27" s="119" t="str">
        <f>IF(MAX($G28:$AT28)=0,"",IF(MATCH(MAX($G28:$AT28),$G28:$AT28,0)&lt;COUNTA($G$12:AF$12),"",MAX($G28:AF28)-MAX($G28:AE28)))</f>
        <v/>
      </c>
      <c r="AG27" s="119" t="str">
        <f>IF(MAX($G28:$AT28)=0,"",IF(MATCH(MAX($G28:$AT28),$G28:$AT28,0)&lt;COUNTA($G$12:AG$12),"",MAX($G28:AG28)-MAX($G28:AF28)))</f>
        <v/>
      </c>
      <c r="AH27" s="119" t="str">
        <f>IF(MAX($G28:$AT28)=0,"",IF(MATCH(MAX($G28:$AT28),$G28:$AT28,0)&lt;COUNTA($G$12:AH$12),"",MAX($G28:AH28)-MAX($G28:AG28)))</f>
        <v/>
      </c>
      <c r="AI27" s="119" t="str">
        <f>IF(MAX($G28:$AT28)=0,"",IF(MATCH(MAX($G28:$AT28),$G28:$AT28,0)&lt;COUNTA($G$12:AI$12),"",MAX($G28:AI28)-MAX($G28:AH28)))</f>
        <v/>
      </c>
      <c r="AJ27" s="119" t="str">
        <f>IF(MAX($G28:$AT28)=0,"",IF(MATCH(MAX($G28:$AT28),$G28:$AT28,0)&lt;COUNTA($G$12:AJ$12),"",MAX($G28:AJ28)-MAX($G28:AI28)))</f>
        <v/>
      </c>
      <c r="AK27" s="119" t="str">
        <f>IF(MAX($G28:$AT28)=0,"",IF(MATCH(MAX($G28:$AT28),$G28:$AT28,0)&lt;COUNTA($G$12:AK$12),"",MAX($G28:AK28)-MAX($G28:AJ28)))</f>
        <v/>
      </c>
      <c r="AL27" s="119" t="str">
        <f>IF(MAX($G28:$AT28)=0,"",IF(MATCH(MAX($G28:$AT28),$G28:$AT28,0)&lt;COUNTA($G$12:AL$12),"",MAX($G28:AL28)-MAX($G28:AK28)))</f>
        <v/>
      </c>
      <c r="AM27" s="119" t="str">
        <f>IF(MAX($G28:$AT28)=0,"",IF(MATCH(MAX($G28:$AT28),$G28:$AT28,0)&lt;COUNTA($G$12:AM$12),"",MAX($G28:AM28)-MAX($G28:AL28)))</f>
        <v/>
      </c>
      <c r="AN27" s="119" t="str">
        <f>IF(MAX($G28:$AT28)=0,"",IF(MATCH(MAX($G28:$AT28),$G28:$AT28,0)&lt;COUNTA($G$12:AN$12),"",MAX($G28:AN28)-MAX($G28:AM28)))</f>
        <v/>
      </c>
      <c r="AO27" s="119" t="str">
        <f>IF(MAX($G28:$AT28)=0,"",IF(MATCH(MAX($G28:$AT28),$G28:$AT28,0)&lt;COUNTA($G$12:AO$12),"",MAX($G28:AO28)-MAX($G28:AN28)))</f>
        <v/>
      </c>
      <c r="AP27" s="119" t="str">
        <f>IF(MAX($G28:$AT28)=0,"",IF(MATCH(MAX($G28:$AT28),$G28:$AT28,0)&lt;COUNTA($G$12:AP$12),"",MAX($G28:AP28)-MAX($G28:AO28)))</f>
        <v/>
      </c>
      <c r="AQ27" s="119" t="str">
        <f>IF(MAX($G28:$AT28)=0,"",IF(MATCH(MAX($G28:$AT28),$G28:$AT28,0)&lt;COUNTA($G$12:AQ$12),"",MAX($G28:AQ28)-MAX($G28:AP28)))</f>
        <v/>
      </c>
      <c r="AR27" s="119" t="str">
        <f>IF(MAX($G28:$AT28)=0,"",IF(MATCH(MAX($G28:$AT28),$G28:$AT28,0)&lt;COUNTA($G$12:AR$12),"",MAX($G28:AR28)-MAX($G28:AQ28)))</f>
        <v/>
      </c>
      <c r="AS27" s="119" t="str">
        <f>IF(MAX($G28:$AT28)=0,"",IF(MATCH(MAX($G28:$AT28),$G28:$AT28,0)&lt;COUNTA($G$12:AS$12),"",MAX($G28:AS28)-MAX($G28:AR28)))</f>
        <v/>
      </c>
      <c r="AT27" s="120" t="str">
        <f>IF(MAX($G28:$AT28)=0,"",IF(MATCH(MAX($G28:$AT28),$G28:$AT28,0)&lt;COUNTA($G$12:AT$12),"",MAX($G28:AT28)-MAX($G28:AS28)))</f>
        <v/>
      </c>
      <c r="AY27" s="68"/>
    </row>
    <row r="28" spans="1:51" s="67" customFormat="1" ht="12.75" customHeight="1" x14ac:dyDescent="0.2">
      <c r="A28" s="108"/>
      <c r="B28" s="108"/>
      <c r="C28" s="367"/>
      <c r="D28" s="369"/>
      <c r="E28" s="371"/>
      <c r="F28" s="111" t="s">
        <v>9</v>
      </c>
      <c r="G28" s="112">
        <v>0</v>
      </c>
      <c r="H28" s="112">
        <v>0</v>
      </c>
      <c r="I28" s="112">
        <v>1</v>
      </c>
      <c r="J28" s="112">
        <v>1001</v>
      </c>
      <c r="K28" s="112">
        <v>0</v>
      </c>
      <c r="L28" s="112">
        <v>0</v>
      </c>
      <c r="M28" s="112">
        <v>0</v>
      </c>
      <c r="N28" s="112">
        <v>0</v>
      </c>
      <c r="O28" s="112">
        <v>0</v>
      </c>
      <c r="P28" s="112">
        <v>0</v>
      </c>
      <c r="Q28" s="112">
        <v>0</v>
      </c>
      <c r="R28" s="112">
        <v>0</v>
      </c>
      <c r="S28" s="112">
        <v>0</v>
      </c>
      <c r="T28" s="112">
        <v>0</v>
      </c>
      <c r="U28" s="112">
        <v>0</v>
      </c>
      <c r="V28" s="112">
        <v>0</v>
      </c>
      <c r="W28" s="112">
        <v>0</v>
      </c>
      <c r="X28" s="112">
        <v>0</v>
      </c>
      <c r="Y28" s="112">
        <v>0</v>
      </c>
      <c r="Z28" s="112">
        <v>0</v>
      </c>
      <c r="AA28" s="112">
        <v>0</v>
      </c>
      <c r="AB28" s="112">
        <v>0</v>
      </c>
      <c r="AC28" s="112">
        <v>0</v>
      </c>
      <c r="AD28" s="112">
        <v>0</v>
      </c>
      <c r="AE28" s="112">
        <v>0</v>
      </c>
      <c r="AF28" s="112">
        <v>0</v>
      </c>
      <c r="AG28" s="112">
        <v>0</v>
      </c>
      <c r="AH28" s="112">
        <v>0</v>
      </c>
      <c r="AI28" s="112">
        <v>0</v>
      </c>
      <c r="AJ28" s="112">
        <v>0</v>
      </c>
      <c r="AK28" s="112">
        <v>0</v>
      </c>
      <c r="AL28" s="112">
        <v>0</v>
      </c>
      <c r="AM28" s="112">
        <v>0</v>
      </c>
      <c r="AN28" s="112">
        <v>0</v>
      </c>
      <c r="AO28" s="112">
        <v>0</v>
      </c>
      <c r="AP28" s="112">
        <v>0</v>
      </c>
      <c r="AQ28" s="112">
        <v>0</v>
      </c>
      <c r="AR28" s="112">
        <v>0</v>
      </c>
      <c r="AS28" s="112">
        <v>0</v>
      </c>
      <c r="AT28" s="113">
        <v>0</v>
      </c>
      <c r="AY28" s="68"/>
    </row>
    <row r="29" spans="1:51" s="67" customFormat="1" ht="12.75" customHeight="1" x14ac:dyDescent="0.2">
      <c r="A29" s="108">
        <f ca="1">OFFSET(A29,-2,0)+1</f>
        <v>9</v>
      </c>
      <c r="B29" s="108">
        <f ca="1">MATCH(A29,OFFSET(PO!$W$15,0,0,PO!$J$15),0)-1</f>
        <v>18</v>
      </c>
      <c r="C29" s="366" t="str">
        <f ca="1">IF(ISERROR($B29),"",OFFSET(PO!$L$15,$B29,0))</f>
        <v>5</v>
      </c>
      <c r="D29" s="368" t="str">
        <f ca="1">IF(ISERROR($B29),"",OFFSET(PO!$L$15,$B29,3))</f>
        <v>equipamentos sanitarios</v>
      </c>
      <c r="E29" s="370">
        <f ca="1">IF(ISERROR($B29),0,OFFSET(PO!$L$15,$B29,9))</f>
        <v>1604.49</v>
      </c>
      <c r="F29" s="109" t="s">
        <v>7</v>
      </c>
      <c r="G29" s="121">
        <f ca="1">G30</f>
        <v>0</v>
      </c>
      <c r="H29" s="121">
        <f ca="1">IF(MAX($G30:$AT30)=0,"",IF(MATCH(MAX($G30:$AT30),$G30:$AT30,0)&lt;COUNTA($G$12:H$12),"",MAX($G30:H30)-MAX($G30:G30)))</f>
        <v>0</v>
      </c>
      <c r="I29" s="121">
        <f ca="1">IF(MAX($G30:$AT30)=0,"",IF(MATCH(MAX($G30:$AT30),$G30:$AT30,0)&lt;COUNTA($G$12:I$12),"",MAX($G30:I30)-MAX($G30:H30)))</f>
        <v>1</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7"/>
      <c r="D30" s="369"/>
      <c r="E30" s="371"/>
      <c r="F30" s="111" t="s">
        <v>9</v>
      </c>
      <c r="G30" s="112">
        <f ca="1">IF(ISNUMBER(VALUE($C29)),SUMPRODUCT(OFFSET(G30,2,0,COUNTIF($C$13:$C$42,$C29&amp;".*")*2-1),OFFSET($E29,2,0,COUNTIF($C$13:$C$42,$C29&amp;".*")*2-1))/$E29,0)</f>
        <v>0</v>
      </c>
      <c r="H30" s="112">
        <f t="shared" ref="H30:AS30" ca="1" si="8">IF(ISNUMBER(VALUE($C29)),SUMPRODUCT(OFFSET(H30,2,0,COUNTIF($C$13:$C$42,$C29&amp;".*")*2-1),OFFSET($E29,2,0,COUNTIF($C$13:$C$42,$C29&amp;".*")*2-1))/$E29,G30)</f>
        <v>0</v>
      </c>
      <c r="I30" s="112">
        <f t="shared" ca="1" si="8"/>
        <v>1</v>
      </c>
      <c r="J30" s="112">
        <f t="shared" ca="1" si="8"/>
        <v>1</v>
      </c>
      <c r="K30" s="112">
        <f t="shared" ca="1" si="8"/>
        <v>1</v>
      </c>
      <c r="L30" s="112">
        <f t="shared" ca="1" si="8"/>
        <v>1</v>
      </c>
      <c r="M30" s="112">
        <f t="shared" ca="1" si="8"/>
        <v>1</v>
      </c>
      <c r="N30" s="112">
        <f t="shared" ca="1" si="8"/>
        <v>1</v>
      </c>
      <c r="O30" s="112">
        <f t="shared" ca="1" si="8"/>
        <v>1</v>
      </c>
      <c r="P30" s="112">
        <f t="shared" ca="1" si="8"/>
        <v>1</v>
      </c>
      <c r="Q30" s="112">
        <f t="shared" ca="1" si="8"/>
        <v>1</v>
      </c>
      <c r="R30" s="112">
        <f t="shared" ca="1" si="8"/>
        <v>1</v>
      </c>
      <c r="S30" s="112">
        <f t="shared" ca="1" si="8"/>
        <v>1</v>
      </c>
      <c r="T30" s="112">
        <f t="shared" ca="1" si="8"/>
        <v>1</v>
      </c>
      <c r="U30" s="112">
        <f t="shared" ca="1" si="8"/>
        <v>1</v>
      </c>
      <c r="V30" s="112">
        <f t="shared" ca="1" si="8"/>
        <v>1</v>
      </c>
      <c r="W30" s="112">
        <f t="shared" ca="1" si="8"/>
        <v>1</v>
      </c>
      <c r="X30" s="112">
        <f t="shared" ca="1" si="8"/>
        <v>1</v>
      </c>
      <c r="Y30" s="112">
        <f t="shared" ca="1" si="8"/>
        <v>1</v>
      </c>
      <c r="Z30" s="112">
        <f t="shared" ca="1" si="8"/>
        <v>1</v>
      </c>
      <c r="AA30" s="112">
        <f t="shared" ca="1" si="8"/>
        <v>1</v>
      </c>
      <c r="AB30" s="112">
        <f t="shared" ca="1" si="8"/>
        <v>1</v>
      </c>
      <c r="AC30" s="112">
        <f t="shared" ca="1" si="8"/>
        <v>1</v>
      </c>
      <c r="AD30" s="112">
        <f t="shared" ca="1" si="8"/>
        <v>1</v>
      </c>
      <c r="AE30" s="112">
        <f t="shared" ca="1" si="8"/>
        <v>1</v>
      </c>
      <c r="AF30" s="112">
        <f t="shared" ca="1" si="8"/>
        <v>1</v>
      </c>
      <c r="AG30" s="112">
        <f t="shared" ca="1" si="8"/>
        <v>1</v>
      </c>
      <c r="AH30" s="112">
        <f t="shared" ca="1" si="8"/>
        <v>1</v>
      </c>
      <c r="AI30" s="112">
        <f t="shared" ca="1" si="8"/>
        <v>1</v>
      </c>
      <c r="AJ30" s="112">
        <f t="shared" ca="1" si="8"/>
        <v>1</v>
      </c>
      <c r="AK30" s="112">
        <f t="shared" ca="1" si="8"/>
        <v>1</v>
      </c>
      <c r="AL30" s="112">
        <f t="shared" ca="1" si="8"/>
        <v>1</v>
      </c>
      <c r="AM30" s="112">
        <f t="shared" ca="1" si="8"/>
        <v>1</v>
      </c>
      <c r="AN30" s="112">
        <f t="shared" ca="1" si="8"/>
        <v>1</v>
      </c>
      <c r="AO30" s="112">
        <f t="shared" ca="1" si="8"/>
        <v>1</v>
      </c>
      <c r="AP30" s="112">
        <f t="shared" ca="1" si="8"/>
        <v>1</v>
      </c>
      <c r="AQ30" s="112">
        <f t="shared" ca="1" si="8"/>
        <v>1</v>
      </c>
      <c r="AR30" s="112">
        <f t="shared" ca="1" si="8"/>
        <v>1</v>
      </c>
      <c r="AS30" s="112">
        <f t="shared" ca="1" si="8"/>
        <v>1</v>
      </c>
      <c r="AT30" s="113"/>
      <c r="AY30" s="68"/>
    </row>
    <row r="31" spans="1:51" s="67" customFormat="1" ht="12.75" customHeight="1" x14ac:dyDescent="0.2">
      <c r="A31" s="108">
        <f ca="1">OFFSET(A31,-2,0)+1</f>
        <v>10</v>
      </c>
      <c r="B31" s="108">
        <f ca="1">MATCH(A31,OFFSET(PO!$W$15,0,0,PO!$J$15),0)-1</f>
        <v>19</v>
      </c>
      <c r="C31" s="372" t="str">
        <f ca="1">IF(ISERROR($B31),"",OFFSET(PO!$L$15,$B31,0))</f>
        <v>5.1</v>
      </c>
      <c r="D31" s="376" t="str">
        <f ca="1">IF(ISERROR($B31),"",OFFSET(PO!$L$15,$B31,3))</f>
        <v>equipamentos sanitarios</v>
      </c>
      <c r="E31" s="377">
        <f ca="1">IF(ISERROR($B31),0,OFFSET(PO!$L$15,$B31,9))</f>
        <v>1604.49</v>
      </c>
      <c r="F31" s="114" t="s">
        <v>7</v>
      </c>
      <c r="G31" s="119">
        <f ca="1">G32</f>
        <v>0</v>
      </c>
      <c r="H31" s="119">
        <f ca="1">IF(MAX($G32:$AT32)=0,"",IF(MATCH(MAX($G32:$AT32),$G32:$AT32,0)&lt;COUNTA($G$12:H$12),"",MAX($G32:H32)-MAX($G32:G32)))</f>
        <v>0</v>
      </c>
      <c r="I31" s="119">
        <f ca="1">IF(MAX($G32:$AT32)=0,"",IF(MATCH(MAX($G32:$AT32),$G32:$AT32,0)&lt;COUNTA($G$12:I$12),"",MAX($G32:I32)-MAX($G32:H32)))</f>
        <v>1</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7"/>
      <c r="D32" s="369"/>
      <c r="E32" s="371"/>
      <c r="F32" s="111" t="s">
        <v>9</v>
      </c>
      <c r="G32" s="112">
        <f ca="1">IF(ISNUMBER(VALUE($C31)),SUMPRODUCT(OFFSET(G32,2,0,COUNTIF($C$13:$C$42,$C31&amp;".*")*2-1),OFFSET($E31,2,0,COUNTIF($C$13:$C$42,$C31&amp;".*")*2-1))/$E31,0)</f>
        <v>0</v>
      </c>
      <c r="H32" s="112">
        <f t="shared" ref="H32:AT32" ca="1" si="9">IF(ISNUMBER(VALUE($C31)),SUMPRODUCT(OFFSET(H32,2,0,COUNTIF($C$13:$C$42,$C31&amp;".*")*2-1),OFFSET($E31,2,0,COUNTIF($C$13:$C$42,$C31&amp;".*")*2-1))/$E31,G32)</f>
        <v>0</v>
      </c>
      <c r="I32" s="112">
        <v>1</v>
      </c>
      <c r="J32" s="112">
        <f t="shared" ca="1" si="9"/>
        <v>1</v>
      </c>
      <c r="K32" s="112">
        <f t="shared" ca="1" si="9"/>
        <v>1</v>
      </c>
      <c r="L32" s="112">
        <f t="shared" ca="1" si="9"/>
        <v>1</v>
      </c>
      <c r="M32" s="112">
        <f t="shared" ca="1" si="9"/>
        <v>1</v>
      </c>
      <c r="N32" s="112">
        <f t="shared" ca="1" si="9"/>
        <v>1</v>
      </c>
      <c r="O32" s="112">
        <f t="shared" ca="1" si="9"/>
        <v>1</v>
      </c>
      <c r="P32" s="112">
        <f t="shared" ca="1" si="9"/>
        <v>1</v>
      </c>
      <c r="Q32" s="112">
        <f t="shared" ca="1" si="9"/>
        <v>1</v>
      </c>
      <c r="R32" s="112">
        <f t="shared" ca="1" si="9"/>
        <v>1</v>
      </c>
      <c r="S32" s="112">
        <f t="shared" ca="1" si="9"/>
        <v>1</v>
      </c>
      <c r="T32" s="112">
        <f t="shared" ca="1" si="9"/>
        <v>1</v>
      </c>
      <c r="U32" s="112">
        <f t="shared" ca="1" si="9"/>
        <v>1</v>
      </c>
      <c r="V32" s="112">
        <f t="shared" ca="1" si="9"/>
        <v>1</v>
      </c>
      <c r="W32" s="112">
        <f t="shared" ca="1" si="9"/>
        <v>1</v>
      </c>
      <c r="X32" s="112">
        <f t="shared" ca="1" si="9"/>
        <v>1</v>
      </c>
      <c r="Y32" s="112">
        <f t="shared" ca="1" si="9"/>
        <v>1</v>
      </c>
      <c r="Z32" s="112">
        <f t="shared" ca="1" si="9"/>
        <v>1</v>
      </c>
      <c r="AA32" s="112">
        <f t="shared" ca="1" si="9"/>
        <v>1</v>
      </c>
      <c r="AB32" s="112">
        <f t="shared" ca="1" si="9"/>
        <v>1</v>
      </c>
      <c r="AC32" s="112">
        <f t="shared" ca="1" si="9"/>
        <v>1</v>
      </c>
      <c r="AD32" s="112">
        <f t="shared" ca="1" si="9"/>
        <v>1</v>
      </c>
      <c r="AE32" s="112">
        <f t="shared" ca="1" si="9"/>
        <v>1</v>
      </c>
      <c r="AF32" s="112">
        <f t="shared" ca="1" si="9"/>
        <v>1</v>
      </c>
      <c r="AG32" s="112">
        <f t="shared" ca="1" si="9"/>
        <v>1</v>
      </c>
      <c r="AH32" s="112">
        <f t="shared" ca="1" si="9"/>
        <v>1</v>
      </c>
      <c r="AI32" s="112">
        <f t="shared" ca="1" si="9"/>
        <v>1</v>
      </c>
      <c r="AJ32" s="112">
        <f t="shared" ca="1" si="9"/>
        <v>1</v>
      </c>
      <c r="AK32" s="112">
        <f t="shared" ca="1" si="9"/>
        <v>1</v>
      </c>
      <c r="AL32" s="112">
        <f t="shared" ca="1" si="9"/>
        <v>1</v>
      </c>
      <c r="AM32" s="112">
        <f t="shared" ca="1" si="9"/>
        <v>1</v>
      </c>
      <c r="AN32" s="112">
        <f t="shared" ca="1" si="9"/>
        <v>1</v>
      </c>
      <c r="AO32" s="112">
        <f t="shared" ca="1" si="9"/>
        <v>1</v>
      </c>
      <c r="AP32" s="112">
        <f t="shared" ca="1" si="9"/>
        <v>1</v>
      </c>
      <c r="AQ32" s="112">
        <f t="shared" ca="1" si="9"/>
        <v>1</v>
      </c>
      <c r="AR32" s="112">
        <f t="shared" ca="1" si="9"/>
        <v>1</v>
      </c>
      <c r="AS32" s="112">
        <f t="shared" ca="1" si="9"/>
        <v>1</v>
      </c>
      <c r="AT32" s="113">
        <f t="shared" ca="1" si="9"/>
        <v>1</v>
      </c>
      <c r="AY32" s="68"/>
    </row>
    <row r="33" spans="1:54" s="67" customFormat="1" ht="12.75" customHeight="1" x14ac:dyDescent="0.2">
      <c r="A33" s="108">
        <f ca="1">OFFSET(A33,-2,0)+1</f>
        <v>11</v>
      </c>
      <c r="B33" s="108">
        <f ca="1">MATCH(A33,OFFSET(PO!$W$15,0,0,PO!$J$15),0)-1</f>
        <v>22</v>
      </c>
      <c r="C33" s="366" t="str">
        <f ca="1">IF(ISERROR($B33),"",OFFSET(PO!$L$15,$B33,0))</f>
        <v>6</v>
      </c>
      <c r="D33" s="368" t="str">
        <f ca="1">IF(ISERROR($B33),"",OFFSET(PO!$L$15,$B33,3))</f>
        <v>pintura</v>
      </c>
      <c r="E33" s="370">
        <f ca="1">IF(ISERROR($B33),0,OFFSET(PO!$L$15,$B33,9))</f>
        <v>4543.0200000000004</v>
      </c>
      <c r="F33" s="109" t="s">
        <v>7</v>
      </c>
      <c r="G33" s="121">
        <f ca="1">G34</f>
        <v>0</v>
      </c>
      <c r="H33" s="121">
        <f ca="1">IF(MAX($G34:$AT34)=0,"",IF(MATCH(MAX($G34:$AT34),$G34:$AT34,0)&lt;COUNTA($G$12:H$12),"",MAX($G34:H34)-MAX($G34:G34)))</f>
        <v>0</v>
      </c>
      <c r="I33" s="121">
        <f ca="1">IF(MAX($G34:$AT34)=0,"",IF(MATCH(MAX($G34:$AT34),$G34:$AT34,0)&lt;COUNTA($G$12:I$12),"",MAX($G34:I34)-MAX($G34:H34)))</f>
        <v>1</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7"/>
      <c r="D34" s="369"/>
      <c r="E34" s="371"/>
      <c r="F34" s="111" t="s">
        <v>9</v>
      </c>
      <c r="G34" s="112">
        <f ca="1">IF(ISNUMBER(VALUE($C33)),SUMPRODUCT(OFFSET(G34,2,0,COUNTIF($C$13:$C$42,$C33&amp;".*")*2-1),OFFSET($E33,2,0,COUNTIF($C$13:$C$42,$C33&amp;".*")*2-1))/$E33,0)</f>
        <v>0</v>
      </c>
      <c r="H34" s="112">
        <f t="shared" ref="H34:AT34" ca="1" si="10">IF(ISNUMBER(VALUE($C33)),SUMPRODUCT(OFFSET(H34,2,0,COUNTIF($C$13:$C$42,$C33&amp;".*")*2-1),OFFSET($E33,2,0,COUNTIF($C$13:$C$42,$C33&amp;".*")*2-1))/$E33,G34)</f>
        <v>0</v>
      </c>
      <c r="I34" s="112">
        <f t="shared" ca="1" si="10"/>
        <v>1</v>
      </c>
      <c r="J34" s="112">
        <f t="shared" ca="1" si="10"/>
        <v>1</v>
      </c>
      <c r="K34" s="112">
        <f t="shared" ca="1" si="10"/>
        <v>1</v>
      </c>
      <c r="L34" s="112">
        <f t="shared" ca="1" si="10"/>
        <v>1</v>
      </c>
      <c r="M34" s="112">
        <f t="shared" ca="1" si="10"/>
        <v>1</v>
      </c>
      <c r="N34" s="112">
        <f t="shared" ca="1" si="10"/>
        <v>1</v>
      </c>
      <c r="O34" s="112">
        <f t="shared" ca="1" si="10"/>
        <v>1</v>
      </c>
      <c r="P34" s="112">
        <f t="shared" ca="1" si="10"/>
        <v>1</v>
      </c>
      <c r="Q34" s="112">
        <f t="shared" ca="1" si="10"/>
        <v>1</v>
      </c>
      <c r="R34" s="112">
        <f t="shared" ca="1" si="10"/>
        <v>1</v>
      </c>
      <c r="S34" s="112">
        <f t="shared" ca="1" si="10"/>
        <v>1</v>
      </c>
      <c r="T34" s="112">
        <f t="shared" ca="1" si="10"/>
        <v>1</v>
      </c>
      <c r="U34" s="112">
        <f t="shared" ca="1" si="10"/>
        <v>1</v>
      </c>
      <c r="V34" s="112">
        <f t="shared" ca="1" si="10"/>
        <v>1</v>
      </c>
      <c r="W34" s="112">
        <f t="shared" ca="1" si="10"/>
        <v>1</v>
      </c>
      <c r="X34" s="112">
        <f t="shared" ca="1" si="10"/>
        <v>1</v>
      </c>
      <c r="Y34" s="112">
        <f t="shared" ca="1" si="10"/>
        <v>1</v>
      </c>
      <c r="Z34" s="112">
        <f t="shared" ca="1" si="10"/>
        <v>1</v>
      </c>
      <c r="AA34" s="112">
        <f t="shared" ca="1" si="10"/>
        <v>1</v>
      </c>
      <c r="AB34" s="112">
        <f t="shared" ca="1" si="10"/>
        <v>1</v>
      </c>
      <c r="AC34" s="112">
        <f t="shared" ca="1" si="10"/>
        <v>1</v>
      </c>
      <c r="AD34" s="112">
        <f t="shared" ca="1" si="10"/>
        <v>1</v>
      </c>
      <c r="AE34" s="112">
        <f t="shared" ca="1" si="10"/>
        <v>1</v>
      </c>
      <c r="AF34" s="112">
        <f t="shared" ca="1" si="10"/>
        <v>1</v>
      </c>
      <c r="AG34" s="112">
        <f t="shared" ca="1" si="10"/>
        <v>1</v>
      </c>
      <c r="AH34" s="112">
        <f t="shared" ca="1" si="10"/>
        <v>1</v>
      </c>
      <c r="AI34" s="112">
        <f t="shared" ca="1" si="10"/>
        <v>1</v>
      </c>
      <c r="AJ34" s="112">
        <f t="shared" ca="1" si="10"/>
        <v>1</v>
      </c>
      <c r="AK34" s="112">
        <f t="shared" ca="1" si="10"/>
        <v>1</v>
      </c>
      <c r="AL34" s="112">
        <f t="shared" ca="1" si="10"/>
        <v>1</v>
      </c>
      <c r="AM34" s="112">
        <f t="shared" ca="1" si="10"/>
        <v>1</v>
      </c>
      <c r="AN34" s="112">
        <f t="shared" ca="1" si="10"/>
        <v>1</v>
      </c>
      <c r="AO34" s="112">
        <f t="shared" ca="1" si="10"/>
        <v>1</v>
      </c>
      <c r="AP34" s="112">
        <f t="shared" ca="1" si="10"/>
        <v>1</v>
      </c>
      <c r="AQ34" s="112">
        <f t="shared" ca="1" si="10"/>
        <v>1</v>
      </c>
      <c r="AR34" s="112">
        <f t="shared" ca="1" si="10"/>
        <v>1</v>
      </c>
      <c r="AS34" s="112">
        <f t="shared" ca="1" si="10"/>
        <v>1</v>
      </c>
      <c r="AT34" s="113">
        <f t="shared" ca="1" si="10"/>
        <v>1</v>
      </c>
      <c r="AY34" s="68"/>
    </row>
    <row r="35" spans="1:54" s="67" customFormat="1" ht="12.75" customHeight="1" x14ac:dyDescent="0.2">
      <c r="A35" s="108">
        <f ca="1">OFFSET(A35,-2,0)+1</f>
        <v>12</v>
      </c>
      <c r="B35" s="108">
        <f ca="1">MATCH(A35,OFFSET(PO!$W$15,0,0,PO!$J$15),0)-1</f>
        <v>23</v>
      </c>
      <c r="C35" s="372" t="str">
        <f ca="1">IF(ISERROR($B35),"",OFFSET(PO!$L$15,$B35,0))</f>
        <v>6.1</v>
      </c>
      <c r="D35" s="376" t="str">
        <f ca="1">IF(ISERROR($B35),"",OFFSET(PO!$L$15,$B35,3))</f>
        <v>pintura</v>
      </c>
      <c r="E35" s="377">
        <f ca="1">IF(ISERROR($B35),0,OFFSET(PO!$L$15,$B35,9))</f>
        <v>4543.0200000000004</v>
      </c>
      <c r="F35" s="114" t="s">
        <v>7</v>
      </c>
      <c r="G35" s="119">
        <f ca="1">G36</f>
        <v>0</v>
      </c>
      <c r="H35" s="119">
        <f ca="1">IF(MAX($G36:$AT36)=0,"",IF(MATCH(MAX($G36:$AT36),$G36:$AT36,0)&lt;COUNTA($G$12:H$12),"",MAX($G36:H36)-MAX($G36:G36)))</f>
        <v>0</v>
      </c>
      <c r="I35" s="119">
        <f ca="1">IF(MAX($G36:$AT36)=0,"",IF(MATCH(MAX($G36:$AT36),$G36:$AT36,0)&lt;COUNTA($G$12:I$12),"",MAX($G36:I36)-MAX($G36:H36)))</f>
        <v>1</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7"/>
      <c r="D36" s="369"/>
      <c r="E36" s="371"/>
      <c r="F36" s="111" t="s">
        <v>9</v>
      </c>
      <c r="G36" s="112">
        <f ca="1">IF(ISNUMBER(VALUE($C35)),SUMPRODUCT(OFFSET(G36,2,0,COUNTIF($C$13:$C$42,$C35&amp;".*")*2-1),OFFSET($E35,2,0,COUNTIF($C$13:$C$42,$C35&amp;".*")*2-1))/$E35,0)</f>
        <v>0</v>
      </c>
      <c r="H36" s="112">
        <f t="shared" ref="H36:AT36" ca="1" si="11">IF(ISNUMBER(VALUE($C35)),SUMPRODUCT(OFFSET(H36,2,0,COUNTIF($C$13:$C$42,$C35&amp;".*")*2-1),OFFSET($E35,2,0,COUNTIF($C$13:$C$42,$C35&amp;".*")*2-1))/$E35,G36)</f>
        <v>0</v>
      </c>
      <c r="I36" s="112">
        <v>1</v>
      </c>
      <c r="J36" s="112">
        <f t="shared" ca="1" si="11"/>
        <v>1</v>
      </c>
      <c r="K36" s="112">
        <f t="shared" ca="1" si="11"/>
        <v>1</v>
      </c>
      <c r="L36" s="112">
        <f t="shared" ca="1" si="11"/>
        <v>1</v>
      </c>
      <c r="M36" s="112">
        <f t="shared" ca="1" si="11"/>
        <v>1</v>
      </c>
      <c r="N36" s="112">
        <f t="shared" ca="1" si="11"/>
        <v>1</v>
      </c>
      <c r="O36" s="112">
        <f t="shared" ca="1" si="11"/>
        <v>1</v>
      </c>
      <c r="P36" s="112">
        <f t="shared" ca="1" si="11"/>
        <v>1</v>
      </c>
      <c r="Q36" s="112">
        <f t="shared" ca="1" si="11"/>
        <v>1</v>
      </c>
      <c r="R36" s="112">
        <f t="shared" ca="1" si="11"/>
        <v>1</v>
      </c>
      <c r="S36" s="112">
        <f t="shared" ca="1" si="11"/>
        <v>1</v>
      </c>
      <c r="T36" s="112">
        <f t="shared" ca="1" si="11"/>
        <v>1</v>
      </c>
      <c r="U36" s="112">
        <f t="shared" ca="1" si="11"/>
        <v>1</v>
      </c>
      <c r="V36" s="112">
        <f t="shared" ca="1" si="11"/>
        <v>1</v>
      </c>
      <c r="W36" s="112">
        <f t="shared" ca="1" si="11"/>
        <v>1</v>
      </c>
      <c r="X36" s="112">
        <f t="shared" ca="1" si="11"/>
        <v>1</v>
      </c>
      <c r="Y36" s="112">
        <f t="shared" ca="1" si="11"/>
        <v>1</v>
      </c>
      <c r="Z36" s="112">
        <f t="shared" ca="1" si="11"/>
        <v>1</v>
      </c>
      <c r="AA36" s="112">
        <f t="shared" ca="1" si="11"/>
        <v>1</v>
      </c>
      <c r="AB36" s="112">
        <f t="shared" ca="1" si="11"/>
        <v>1</v>
      </c>
      <c r="AC36" s="112">
        <f t="shared" ca="1" si="11"/>
        <v>1</v>
      </c>
      <c r="AD36" s="112">
        <f t="shared" ca="1" si="11"/>
        <v>1</v>
      </c>
      <c r="AE36" s="112">
        <f t="shared" ca="1" si="11"/>
        <v>1</v>
      </c>
      <c r="AF36" s="112">
        <f t="shared" ca="1" si="11"/>
        <v>1</v>
      </c>
      <c r="AG36" s="112">
        <f t="shared" ca="1" si="11"/>
        <v>1</v>
      </c>
      <c r="AH36" s="112">
        <f t="shared" ca="1" si="11"/>
        <v>1</v>
      </c>
      <c r="AI36" s="112">
        <f t="shared" ca="1" si="11"/>
        <v>1</v>
      </c>
      <c r="AJ36" s="112">
        <f t="shared" ca="1" si="11"/>
        <v>1</v>
      </c>
      <c r="AK36" s="112">
        <f t="shared" ca="1" si="11"/>
        <v>1</v>
      </c>
      <c r="AL36" s="112">
        <f t="shared" ca="1" si="11"/>
        <v>1</v>
      </c>
      <c r="AM36" s="112">
        <f t="shared" ca="1" si="11"/>
        <v>1</v>
      </c>
      <c r="AN36" s="112">
        <f t="shared" ca="1" si="11"/>
        <v>1</v>
      </c>
      <c r="AO36" s="112">
        <f t="shared" ca="1" si="11"/>
        <v>1</v>
      </c>
      <c r="AP36" s="112">
        <f t="shared" ca="1" si="11"/>
        <v>1</v>
      </c>
      <c r="AQ36" s="112">
        <f t="shared" ca="1" si="11"/>
        <v>1</v>
      </c>
      <c r="AR36" s="112">
        <f t="shared" ca="1" si="11"/>
        <v>1</v>
      </c>
      <c r="AS36" s="112">
        <f t="shared" ca="1" si="11"/>
        <v>1</v>
      </c>
      <c r="AT36" s="113">
        <f t="shared" ca="1" si="11"/>
        <v>1</v>
      </c>
      <c r="AY36" s="68"/>
    </row>
    <row r="37" spans="1:54" s="67" customFormat="1" ht="12.75" customHeight="1" x14ac:dyDescent="0.2">
      <c r="A37" s="108">
        <f ca="1">OFFSET(A37,-2,0)+1</f>
        <v>13</v>
      </c>
      <c r="B37" s="108" t="e">
        <f ca="1">MATCH(A37,OFFSET(PO!$W$15,0,0,PO!$J$15),0)-1</f>
        <v>#N/A</v>
      </c>
      <c r="C37" s="366" t="str">
        <f ca="1">IF(ISERROR($B37),"",OFFSET(PO!$L$15,$B37,0))</f>
        <v/>
      </c>
      <c r="D37" s="368"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7"/>
      <c r="D38" s="369"/>
      <c r="E38" s="371"/>
      <c r="F38" s="111" t="s">
        <v>9</v>
      </c>
      <c r="G38" s="112">
        <f ca="1">IF(ISNUMBER(VALUE($C37)),SUMPRODUCT(OFFSET(G38,2,0,COUNTIF($C$13:$C$42,$C37&amp;".*")*2-1),OFFSET($E37,2,0,COUNTIF($C$13:$C$42,$C37&amp;".*")*2-1))/$E37,0)</f>
        <v>0</v>
      </c>
      <c r="H38" s="112">
        <f t="shared" ref="H38:AT38" ca="1" si="12">IF(ISNUMBER(VALUE($C37)),SUMPRODUCT(OFFSET(H38,2,0,COUNTIF($C$13:$C$42,$C37&amp;".*")*2-1),OFFSET($E37,2,0,COUNTIF($C$13:$C$42,$C37&amp;".*")*2-1))/$E37,G38)</f>
        <v>0</v>
      </c>
      <c r="I38" s="112">
        <f t="shared" ca="1" si="12"/>
        <v>0</v>
      </c>
      <c r="J38" s="112">
        <f t="shared" ca="1" si="12"/>
        <v>0</v>
      </c>
      <c r="K38" s="112">
        <f t="shared" ca="1" si="12"/>
        <v>0</v>
      </c>
      <c r="L38" s="112">
        <f t="shared" ca="1" si="12"/>
        <v>0</v>
      </c>
      <c r="M38" s="112">
        <f t="shared" ca="1" si="12"/>
        <v>0</v>
      </c>
      <c r="N38" s="112">
        <f t="shared" ca="1" si="12"/>
        <v>0</v>
      </c>
      <c r="O38" s="112">
        <f t="shared" ca="1" si="12"/>
        <v>0</v>
      </c>
      <c r="P38" s="112">
        <f t="shared" ca="1" si="12"/>
        <v>0</v>
      </c>
      <c r="Q38" s="112">
        <f t="shared" ca="1" si="12"/>
        <v>0</v>
      </c>
      <c r="R38" s="112">
        <f t="shared" ca="1" si="12"/>
        <v>0</v>
      </c>
      <c r="S38" s="112">
        <f t="shared" ca="1" si="12"/>
        <v>0</v>
      </c>
      <c r="T38" s="112">
        <f t="shared" ca="1" si="12"/>
        <v>0</v>
      </c>
      <c r="U38" s="112">
        <f t="shared" ca="1" si="12"/>
        <v>0</v>
      </c>
      <c r="V38" s="112">
        <f t="shared" ca="1" si="12"/>
        <v>0</v>
      </c>
      <c r="W38" s="112">
        <f t="shared" ca="1" si="12"/>
        <v>0</v>
      </c>
      <c r="X38" s="112">
        <f t="shared" ca="1" si="12"/>
        <v>0</v>
      </c>
      <c r="Y38" s="112">
        <f t="shared" ca="1" si="12"/>
        <v>0</v>
      </c>
      <c r="Z38" s="112">
        <f t="shared" ca="1" si="12"/>
        <v>0</v>
      </c>
      <c r="AA38" s="112">
        <f t="shared" ca="1" si="12"/>
        <v>0</v>
      </c>
      <c r="AB38" s="112">
        <f t="shared" ca="1" si="12"/>
        <v>0</v>
      </c>
      <c r="AC38" s="112">
        <f t="shared" ca="1" si="12"/>
        <v>0</v>
      </c>
      <c r="AD38" s="112">
        <f t="shared" ca="1" si="12"/>
        <v>0</v>
      </c>
      <c r="AE38" s="112">
        <f t="shared" ca="1" si="12"/>
        <v>0</v>
      </c>
      <c r="AF38" s="112">
        <f t="shared" ca="1" si="12"/>
        <v>0</v>
      </c>
      <c r="AG38" s="112">
        <f t="shared" ca="1" si="12"/>
        <v>0</v>
      </c>
      <c r="AH38" s="112">
        <f t="shared" ca="1" si="12"/>
        <v>0</v>
      </c>
      <c r="AI38" s="112">
        <f t="shared" ca="1" si="12"/>
        <v>0</v>
      </c>
      <c r="AJ38" s="112">
        <f t="shared" ca="1" si="12"/>
        <v>0</v>
      </c>
      <c r="AK38" s="112">
        <f t="shared" ca="1" si="12"/>
        <v>0</v>
      </c>
      <c r="AL38" s="112">
        <f t="shared" ca="1" si="12"/>
        <v>0</v>
      </c>
      <c r="AM38" s="112">
        <f t="shared" ca="1" si="12"/>
        <v>0</v>
      </c>
      <c r="AN38" s="112">
        <f t="shared" ca="1" si="12"/>
        <v>0</v>
      </c>
      <c r="AO38" s="112">
        <f t="shared" ca="1" si="12"/>
        <v>0</v>
      </c>
      <c r="AP38" s="112">
        <f t="shared" ca="1" si="12"/>
        <v>0</v>
      </c>
      <c r="AQ38" s="112">
        <f t="shared" ca="1" si="12"/>
        <v>0</v>
      </c>
      <c r="AR38" s="112">
        <f t="shared" ca="1" si="12"/>
        <v>0</v>
      </c>
      <c r="AS38" s="112">
        <f t="shared" ca="1" si="12"/>
        <v>0</v>
      </c>
      <c r="AT38" s="113">
        <f t="shared" ca="1" si="12"/>
        <v>0</v>
      </c>
      <c r="AY38" s="68"/>
    </row>
    <row r="39" spans="1:54" s="84" customFormat="1" ht="12.75" customHeight="1" x14ac:dyDescent="0.2">
      <c r="C39" s="386" t="s">
        <v>158</v>
      </c>
      <c r="D39" s="387"/>
      <c r="E39" s="383">
        <f ca="1">SUMIF(OFFSET($C$12,1,0,CFF.qtde.itens.atual*2),"&lt;&gt;"&amp;"*.*",OFFSET($E$12,1,0,CFF.qtde.itens.atual*2))</f>
        <v>57260.729999999996</v>
      </c>
      <c r="F39" s="86" t="s">
        <v>7</v>
      </c>
      <c r="G39" s="215">
        <f ca="1">G41</f>
        <v>0</v>
      </c>
      <c r="H39" s="215">
        <f ca="1">H41-G41</f>
        <v>0</v>
      </c>
      <c r="I39" s="215">
        <f t="shared" ref="I39:AP39" ca="1" si="13">I41-H41</f>
        <v>1</v>
      </c>
      <c r="J39" s="215">
        <f t="shared" ca="1" si="13"/>
        <v>27.508808916686881</v>
      </c>
      <c r="K39" s="215">
        <f t="shared" ca="1" si="13"/>
        <v>-28.03673302802811</v>
      </c>
      <c r="L39" s="215">
        <f t="shared" ca="1" si="13"/>
        <v>0</v>
      </c>
      <c r="M39" s="215">
        <f t="shared" ca="1" si="13"/>
        <v>0</v>
      </c>
      <c r="N39" s="216">
        <f t="shared" ca="1" si="13"/>
        <v>0</v>
      </c>
      <c r="O39" s="215">
        <f t="shared" ca="1" si="13"/>
        <v>0</v>
      </c>
      <c r="P39" s="215">
        <f t="shared" ca="1" si="13"/>
        <v>0</v>
      </c>
      <c r="Q39" s="215">
        <f t="shared" ca="1" si="13"/>
        <v>0</v>
      </c>
      <c r="R39" s="215">
        <f t="shared" ca="1" si="13"/>
        <v>0</v>
      </c>
      <c r="S39" s="215">
        <f t="shared" ca="1" si="13"/>
        <v>0</v>
      </c>
      <c r="T39" s="215">
        <f t="shared" ca="1" si="13"/>
        <v>0</v>
      </c>
      <c r="U39" s="215">
        <f t="shared" ca="1" si="13"/>
        <v>0</v>
      </c>
      <c r="V39" s="216">
        <f t="shared" ca="1" si="13"/>
        <v>0</v>
      </c>
      <c r="W39" s="215">
        <f t="shared" ca="1" si="13"/>
        <v>0</v>
      </c>
      <c r="X39" s="215">
        <f t="shared" ca="1" si="13"/>
        <v>0</v>
      </c>
      <c r="Y39" s="215">
        <f t="shared" ca="1" si="13"/>
        <v>0</v>
      </c>
      <c r="Z39" s="215">
        <f t="shared" ca="1" si="13"/>
        <v>0</v>
      </c>
      <c r="AA39" s="215">
        <f t="shared" ca="1" si="13"/>
        <v>0</v>
      </c>
      <c r="AB39" s="215">
        <f t="shared" ca="1" si="13"/>
        <v>0</v>
      </c>
      <c r="AC39" s="215">
        <f t="shared" ca="1" si="13"/>
        <v>0</v>
      </c>
      <c r="AD39" s="216">
        <f t="shared" ca="1" si="13"/>
        <v>0</v>
      </c>
      <c r="AE39" s="215">
        <f t="shared" ca="1" si="13"/>
        <v>0</v>
      </c>
      <c r="AF39" s="215">
        <f t="shared" ca="1" si="13"/>
        <v>0</v>
      </c>
      <c r="AG39" s="215">
        <f t="shared" ca="1" si="13"/>
        <v>0</v>
      </c>
      <c r="AH39" s="215">
        <f t="shared" ca="1" si="13"/>
        <v>0</v>
      </c>
      <c r="AI39" s="215">
        <f t="shared" ca="1" si="13"/>
        <v>0</v>
      </c>
      <c r="AJ39" s="215">
        <f t="shared" ca="1" si="13"/>
        <v>0</v>
      </c>
      <c r="AK39" s="215">
        <f t="shared" ca="1" si="13"/>
        <v>0</v>
      </c>
      <c r="AL39" s="216">
        <f t="shared" ca="1" si="13"/>
        <v>0</v>
      </c>
      <c r="AM39" s="215">
        <f t="shared" ca="1" si="13"/>
        <v>0</v>
      </c>
      <c r="AN39" s="215">
        <f t="shared" ca="1" si="13"/>
        <v>0</v>
      </c>
      <c r="AO39" s="215">
        <f t="shared" ca="1" si="13"/>
        <v>0</v>
      </c>
      <c r="AP39" s="215">
        <f t="shared" ca="1" si="13"/>
        <v>0</v>
      </c>
      <c r="AQ39" s="215">
        <f ca="1">AQ41-AP41</f>
        <v>0</v>
      </c>
      <c r="AR39" s="215">
        <f ca="1">AR41-AQ41</f>
        <v>0</v>
      </c>
      <c r="AS39" s="215">
        <f ca="1">AS41-AR41</f>
        <v>0</v>
      </c>
      <c r="AT39" s="216">
        <f ca="1">AT41-AS41</f>
        <v>-2.8020774446990138E-2</v>
      </c>
      <c r="AW39" s="382"/>
      <c r="AX39" s="382"/>
      <c r="AY39" s="381"/>
      <c r="BA39" s="87"/>
    </row>
    <row r="40" spans="1:54" s="84" customFormat="1" ht="12.75" customHeight="1" x14ac:dyDescent="0.2">
      <c r="C40" s="388"/>
      <c r="D40" s="389"/>
      <c r="E40" s="384"/>
      <c r="F40" s="88" t="s">
        <v>8</v>
      </c>
      <c r="G40" s="217">
        <f ca="1">G39*$E$39</f>
        <v>0</v>
      </c>
      <c r="H40" s="217">
        <f t="shared" ref="H40:AP40" ca="1" si="14">H39*$E$39</f>
        <v>0</v>
      </c>
      <c r="I40" s="217">
        <f t="shared" ca="1" si="14"/>
        <v>57260.729999999996</v>
      </c>
      <c r="J40" s="217">
        <f t="shared" ca="1" si="14"/>
        <v>1575174.48</v>
      </c>
      <c r="K40" s="217">
        <f t="shared" ca="1" si="14"/>
        <v>-1605403.7999999998</v>
      </c>
      <c r="L40" s="217">
        <f t="shared" ca="1" si="14"/>
        <v>0</v>
      </c>
      <c r="M40" s="217">
        <f t="shared" ca="1" si="14"/>
        <v>0</v>
      </c>
      <c r="N40" s="218">
        <f t="shared" ca="1" si="14"/>
        <v>0</v>
      </c>
      <c r="O40" s="217">
        <f t="shared" ca="1" si="14"/>
        <v>0</v>
      </c>
      <c r="P40" s="217">
        <f t="shared" ca="1" si="14"/>
        <v>0</v>
      </c>
      <c r="Q40" s="217">
        <f t="shared" ca="1" si="14"/>
        <v>0</v>
      </c>
      <c r="R40" s="217">
        <f t="shared" ca="1" si="14"/>
        <v>0</v>
      </c>
      <c r="S40" s="217">
        <f t="shared" ca="1" si="14"/>
        <v>0</v>
      </c>
      <c r="T40" s="217">
        <f t="shared" ca="1" si="14"/>
        <v>0</v>
      </c>
      <c r="U40" s="217">
        <f t="shared" ca="1" si="14"/>
        <v>0</v>
      </c>
      <c r="V40" s="218">
        <f t="shared" ca="1" si="14"/>
        <v>0</v>
      </c>
      <c r="W40" s="217">
        <f t="shared" ca="1" si="14"/>
        <v>0</v>
      </c>
      <c r="X40" s="217">
        <f t="shared" ca="1" si="14"/>
        <v>0</v>
      </c>
      <c r="Y40" s="217">
        <f t="shared" ca="1" si="14"/>
        <v>0</v>
      </c>
      <c r="Z40" s="217">
        <f t="shared" ca="1" si="14"/>
        <v>0</v>
      </c>
      <c r="AA40" s="217">
        <f t="shared" ca="1" si="14"/>
        <v>0</v>
      </c>
      <c r="AB40" s="217">
        <f t="shared" ca="1" si="14"/>
        <v>0</v>
      </c>
      <c r="AC40" s="217">
        <f t="shared" ca="1" si="14"/>
        <v>0</v>
      </c>
      <c r="AD40" s="218">
        <f t="shared" ca="1" si="14"/>
        <v>0</v>
      </c>
      <c r="AE40" s="217">
        <f t="shared" ca="1" si="14"/>
        <v>0</v>
      </c>
      <c r="AF40" s="217">
        <f t="shared" ca="1" si="14"/>
        <v>0</v>
      </c>
      <c r="AG40" s="217">
        <f t="shared" ca="1" si="14"/>
        <v>0</v>
      </c>
      <c r="AH40" s="217">
        <f t="shared" ca="1" si="14"/>
        <v>0</v>
      </c>
      <c r="AI40" s="217">
        <f t="shared" ca="1" si="14"/>
        <v>0</v>
      </c>
      <c r="AJ40" s="217">
        <f t="shared" ca="1" si="14"/>
        <v>0</v>
      </c>
      <c r="AK40" s="217">
        <f t="shared" ca="1" si="14"/>
        <v>0</v>
      </c>
      <c r="AL40" s="218">
        <f t="shared" ca="1" si="14"/>
        <v>0</v>
      </c>
      <c r="AM40" s="217">
        <f t="shared" ca="1" si="14"/>
        <v>0</v>
      </c>
      <c r="AN40" s="217">
        <f t="shared" ca="1" si="14"/>
        <v>0</v>
      </c>
      <c r="AO40" s="217">
        <f t="shared" ca="1" si="14"/>
        <v>0</v>
      </c>
      <c r="AP40" s="217">
        <f t="shared" ca="1" si="14"/>
        <v>0</v>
      </c>
      <c r="AQ40" s="217">
        <f ca="1">AQ39*$E$39</f>
        <v>0</v>
      </c>
      <c r="AR40" s="217">
        <f ca="1">AR39*$E$39</f>
        <v>0</v>
      </c>
      <c r="AS40" s="217">
        <f ca="1">AS39*$E$39</f>
        <v>0</v>
      </c>
      <c r="AT40" s="218">
        <f ca="1">AT39*$E$39</f>
        <v>-1604.4900000000014</v>
      </c>
      <c r="AW40" s="382"/>
      <c r="AX40" s="382"/>
      <c r="AY40" s="381"/>
      <c r="BA40" s="87"/>
    </row>
    <row r="41" spans="1:54" s="84" customFormat="1" ht="12.75" customHeight="1" x14ac:dyDescent="0.2">
      <c r="C41" s="388"/>
      <c r="D41" s="389"/>
      <c r="E41" s="384"/>
      <c r="F41" s="89" t="s">
        <v>9</v>
      </c>
      <c r="G41" s="219">
        <f t="array" aca="1" ref="G41" ca="1">SUMPRODUCT(((OFFSET($E$12,1,0,$A$12*2-1))*ISNUMBER(VALUE(OFFSET($C$12,1,0,$A$12*2-1))))*(IF(OFFSET(G$12,2,0,$A$12*2-1)&lt;&gt;"",OFFSET(G$12,2,0,$A$12*2-1),0)))/$E$39</f>
        <v>0</v>
      </c>
      <c r="H41" s="219">
        <f t="array" aca="1" ref="H41" ca="1">SUMPRODUCT(((OFFSET($E$12,1,0,$A$12*2-1))*ISNUMBER(VALUE(OFFSET($C$12,1,0,$A$12*2-1))))*(IF(OFFSET(H$12,2,0,$A$12*2-1)&lt;&gt;"",OFFSET(H$12,2,0,$A$12*2-1),0)))/$E$39</f>
        <v>0</v>
      </c>
      <c r="I41" s="219">
        <f t="array" aca="1" ref="I41" ca="1">SUMPRODUCT(((OFFSET($E$12,1,0,$A$12*2-1))*ISNUMBER(VALUE(OFFSET($C$12,1,0,$A$12*2-1))))*(IF(OFFSET(I$12,2,0,$A$12*2-1)&lt;&gt;"",OFFSET(I$12,2,0,$A$12*2-1),0)))/$E$39</f>
        <v>1</v>
      </c>
      <c r="J41" s="219">
        <f t="array" aca="1" ref="J41" ca="1">SUMPRODUCT(((OFFSET($E$12,1,0,$A$12*2-1))*ISNUMBER(VALUE(OFFSET($C$12,1,0,$A$12*2-1))))*(IF(OFFSET(J$12,2,0,$A$12*2-1)&lt;&gt;"",OFFSET(J$12,2,0,$A$12*2-1),0)))/$E$39</f>
        <v>28.508808916686881</v>
      </c>
      <c r="K41" s="219">
        <f t="array" aca="1" ref="K41" ca="1">SUMPRODUCT(((OFFSET($E$12,1,0,$A$12*2-1))*ISNUMBER(VALUE(OFFSET($C$12,1,0,$A$12*2-1))))*(IF(OFFSET(K$12,2,0,$A$12*2-1)&lt;&gt;"",OFFSET(K$12,2,0,$A$12*2-1),0)))/$E$39</f>
        <v>0.47207588865877192</v>
      </c>
      <c r="L41" s="219">
        <f t="array" aca="1" ref="L41" ca="1">SUMPRODUCT(((OFFSET($E$12,1,0,$A$12*2-1))*ISNUMBER(VALUE(OFFSET($C$12,1,0,$A$12*2-1))))*(IF(OFFSET(L$12,2,0,$A$12*2-1)&lt;&gt;"",OFFSET(L$12,2,0,$A$12*2-1),0)))/$E$39</f>
        <v>0.47207588865877192</v>
      </c>
      <c r="M41" s="219">
        <f t="array" aca="1" ref="M41" ca="1">SUMPRODUCT(((OFFSET($E$12,1,0,$A$12*2-1))*ISNUMBER(VALUE(OFFSET($C$12,1,0,$A$12*2-1))))*(IF(OFFSET(M$12,2,0,$A$12*2-1)&lt;&gt;"",OFFSET(M$12,2,0,$A$12*2-1),0)))/$E$39</f>
        <v>0.47207588865877192</v>
      </c>
      <c r="N41" s="220">
        <f t="array" aca="1" ref="N41" ca="1">SUMPRODUCT(((OFFSET($E$12,1,0,$A$12*2-1))*ISNUMBER(VALUE(OFFSET($C$12,1,0,$A$12*2-1))))*(IF(OFFSET(N$12,2,0,$A$12*2-1)&lt;&gt;"",OFFSET(N$12,2,0,$A$12*2-1),0)))/$E$39</f>
        <v>0.47207588865877192</v>
      </c>
      <c r="O41" s="219">
        <f t="array" aca="1" ref="O41" ca="1">SUMPRODUCT(((OFFSET($E$12,1,0,$A$12*2-1))*ISNUMBER(VALUE(OFFSET($C$12,1,0,$A$12*2-1))))*(IF(OFFSET(O$12,2,0,$A$12*2-1)&lt;&gt;"",OFFSET(O$12,2,0,$A$12*2-1),0)))/$E$39</f>
        <v>0.47207588865877192</v>
      </c>
      <c r="P41" s="219">
        <f t="array" aca="1" ref="P41" ca="1">SUMPRODUCT(((OFFSET($E$12,1,0,$A$12*2-1))*ISNUMBER(VALUE(OFFSET($C$12,1,0,$A$12*2-1))))*(IF(OFFSET(P$12,2,0,$A$12*2-1)&lt;&gt;"",OFFSET(P$12,2,0,$A$12*2-1),0)))/$E$39</f>
        <v>0.47207588865877192</v>
      </c>
      <c r="Q41" s="219">
        <f t="array" aca="1" ref="Q41" ca="1">SUMPRODUCT(((OFFSET($E$12,1,0,$A$12*2-1))*ISNUMBER(VALUE(OFFSET($C$12,1,0,$A$12*2-1))))*(IF(OFFSET(Q$12,2,0,$A$12*2-1)&lt;&gt;"",OFFSET(Q$12,2,0,$A$12*2-1),0)))/$E$39</f>
        <v>0.47207588865877192</v>
      </c>
      <c r="R41" s="219">
        <f t="array" aca="1" ref="R41" ca="1">SUMPRODUCT(((OFFSET($E$12,1,0,$A$12*2-1))*ISNUMBER(VALUE(OFFSET($C$12,1,0,$A$12*2-1))))*(IF(OFFSET(R$12,2,0,$A$12*2-1)&lt;&gt;"",OFFSET(R$12,2,0,$A$12*2-1),0)))/$E$39</f>
        <v>0.47207588865877192</v>
      </c>
      <c r="S41" s="219">
        <f t="array" aca="1" ref="S41" ca="1">SUMPRODUCT(((OFFSET($E$12,1,0,$A$12*2-1))*ISNUMBER(VALUE(OFFSET($C$12,1,0,$A$12*2-1))))*(IF(OFFSET(S$12,2,0,$A$12*2-1)&lt;&gt;"",OFFSET(S$12,2,0,$A$12*2-1),0)))/$E$39</f>
        <v>0.47207588865877192</v>
      </c>
      <c r="T41" s="219">
        <f t="array" aca="1" ref="T41" ca="1">SUMPRODUCT(((OFFSET($E$12,1,0,$A$12*2-1))*ISNUMBER(VALUE(OFFSET($C$12,1,0,$A$12*2-1))))*(IF(OFFSET(T$12,2,0,$A$12*2-1)&lt;&gt;"",OFFSET(T$12,2,0,$A$12*2-1),0)))/$E$39</f>
        <v>0.47207588865877192</v>
      </c>
      <c r="U41" s="219">
        <f t="array" aca="1" ref="U41" ca="1">SUMPRODUCT(((OFFSET($E$12,1,0,$A$12*2-1))*ISNUMBER(VALUE(OFFSET($C$12,1,0,$A$12*2-1))))*(IF(OFFSET(U$12,2,0,$A$12*2-1)&lt;&gt;"",OFFSET(U$12,2,0,$A$12*2-1),0)))/$E$39</f>
        <v>0.47207588865877192</v>
      </c>
      <c r="V41" s="220">
        <f t="array" aca="1" ref="V41" ca="1">SUMPRODUCT(((OFFSET($E$12,1,0,$A$12*2-1))*ISNUMBER(VALUE(OFFSET($C$12,1,0,$A$12*2-1))))*(IF(OFFSET(V$12,2,0,$A$12*2-1)&lt;&gt;"",OFFSET(V$12,2,0,$A$12*2-1),0)))/$E$39</f>
        <v>0.47207588865877192</v>
      </c>
      <c r="W41" s="219">
        <f t="array" aca="1" ref="W41" ca="1">SUMPRODUCT(((OFFSET($E$12,1,0,$A$12*2-1))*ISNUMBER(VALUE(OFFSET($C$12,1,0,$A$12*2-1))))*(IF(OFFSET(W$12,2,0,$A$12*2-1)&lt;&gt;"",OFFSET(W$12,2,0,$A$12*2-1),0)))/$E$39</f>
        <v>0.47207588865877192</v>
      </c>
      <c r="X41" s="219">
        <f t="array" aca="1" ref="X41" ca="1">SUMPRODUCT(((OFFSET($E$12,1,0,$A$12*2-1))*ISNUMBER(VALUE(OFFSET($C$12,1,0,$A$12*2-1))))*(IF(OFFSET(X$12,2,0,$A$12*2-1)&lt;&gt;"",OFFSET(X$12,2,0,$A$12*2-1),0)))/$E$39</f>
        <v>0.47207588865877192</v>
      </c>
      <c r="Y41" s="219">
        <f t="array" aca="1" ref="Y41" ca="1">SUMPRODUCT(((OFFSET($E$12,1,0,$A$12*2-1))*ISNUMBER(VALUE(OFFSET($C$12,1,0,$A$12*2-1))))*(IF(OFFSET(Y$12,2,0,$A$12*2-1)&lt;&gt;"",OFFSET(Y$12,2,0,$A$12*2-1),0)))/$E$39</f>
        <v>0.47207588865877192</v>
      </c>
      <c r="Z41" s="219">
        <f t="array" aca="1" ref="Z41" ca="1">SUMPRODUCT(((OFFSET($E$12,1,0,$A$12*2-1))*ISNUMBER(VALUE(OFFSET($C$12,1,0,$A$12*2-1))))*(IF(OFFSET(Z$12,2,0,$A$12*2-1)&lt;&gt;"",OFFSET(Z$12,2,0,$A$12*2-1),0)))/$E$39</f>
        <v>0.47207588865877192</v>
      </c>
      <c r="AA41" s="219">
        <f t="array" aca="1" ref="AA41" ca="1">SUMPRODUCT(((OFFSET($E$12,1,0,$A$12*2-1))*ISNUMBER(VALUE(OFFSET($C$12,1,0,$A$12*2-1))))*(IF(OFFSET(AA$12,2,0,$A$12*2-1)&lt;&gt;"",OFFSET(AA$12,2,0,$A$12*2-1),0)))/$E$39</f>
        <v>0.47207588865877192</v>
      </c>
      <c r="AB41" s="219">
        <f t="array" aca="1" ref="AB41" ca="1">SUMPRODUCT(((OFFSET($E$12,1,0,$A$12*2-1))*ISNUMBER(VALUE(OFFSET($C$12,1,0,$A$12*2-1))))*(IF(OFFSET(AB$12,2,0,$A$12*2-1)&lt;&gt;"",OFFSET(AB$12,2,0,$A$12*2-1),0)))/$E$39</f>
        <v>0.47207588865877192</v>
      </c>
      <c r="AC41" s="219">
        <f t="array" aca="1" ref="AC41" ca="1">SUMPRODUCT(((OFFSET($E$12,1,0,$A$12*2-1))*ISNUMBER(VALUE(OFFSET($C$12,1,0,$A$12*2-1))))*(IF(OFFSET(AC$12,2,0,$A$12*2-1)&lt;&gt;"",OFFSET(AC$12,2,0,$A$12*2-1),0)))/$E$39</f>
        <v>0.47207588865877192</v>
      </c>
      <c r="AD41" s="220">
        <f t="array" aca="1" ref="AD41" ca="1">SUMPRODUCT(((OFFSET($E$12,1,0,$A$12*2-1))*ISNUMBER(VALUE(OFFSET($C$12,1,0,$A$12*2-1))))*(IF(OFFSET(AD$12,2,0,$A$12*2-1)&lt;&gt;"",OFFSET(AD$12,2,0,$A$12*2-1),0)))/$E$39</f>
        <v>0.47207588865877192</v>
      </c>
      <c r="AE41" s="219">
        <f t="array" aca="1" ref="AE41" ca="1">SUMPRODUCT(((OFFSET($E$12,1,0,$A$12*2-1))*ISNUMBER(VALUE(OFFSET($C$12,1,0,$A$12*2-1))))*(IF(OFFSET(AE$12,2,0,$A$12*2-1)&lt;&gt;"",OFFSET(AE$12,2,0,$A$12*2-1),0)))/$E$39</f>
        <v>0.47207588865877192</v>
      </c>
      <c r="AF41" s="219">
        <f t="array" aca="1" ref="AF41" ca="1">SUMPRODUCT(((OFFSET($E$12,1,0,$A$12*2-1))*ISNUMBER(VALUE(OFFSET($C$12,1,0,$A$12*2-1))))*(IF(OFFSET(AF$12,2,0,$A$12*2-1)&lt;&gt;"",OFFSET(AF$12,2,0,$A$12*2-1),0)))/$E$39</f>
        <v>0.47207588865877192</v>
      </c>
      <c r="AG41" s="219">
        <f t="array" aca="1" ref="AG41" ca="1">SUMPRODUCT(((OFFSET($E$12,1,0,$A$12*2-1))*ISNUMBER(VALUE(OFFSET($C$12,1,0,$A$12*2-1))))*(IF(OFFSET(AG$12,2,0,$A$12*2-1)&lt;&gt;"",OFFSET(AG$12,2,0,$A$12*2-1),0)))/$E$39</f>
        <v>0.47207588865877192</v>
      </c>
      <c r="AH41" s="219">
        <f t="array" aca="1" ref="AH41" ca="1">SUMPRODUCT(((OFFSET($E$12,1,0,$A$12*2-1))*ISNUMBER(VALUE(OFFSET($C$12,1,0,$A$12*2-1))))*(IF(OFFSET(AH$12,2,0,$A$12*2-1)&lt;&gt;"",OFFSET(AH$12,2,0,$A$12*2-1),0)))/$E$39</f>
        <v>0.47207588865877192</v>
      </c>
      <c r="AI41" s="219">
        <f t="array" aca="1" ref="AI41" ca="1">SUMPRODUCT(((OFFSET($E$12,1,0,$A$12*2-1))*ISNUMBER(VALUE(OFFSET($C$12,1,0,$A$12*2-1))))*(IF(OFFSET(AI$12,2,0,$A$12*2-1)&lt;&gt;"",OFFSET(AI$12,2,0,$A$12*2-1),0)))/$E$39</f>
        <v>0.47207588865877192</v>
      </c>
      <c r="AJ41" s="219">
        <f t="array" aca="1" ref="AJ41" ca="1">SUMPRODUCT(((OFFSET($E$12,1,0,$A$12*2-1))*ISNUMBER(VALUE(OFFSET($C$12,1,0,$A$12*2-1))))*(IF(OFFSET(AJ$12,2,0,$A$12*2-1)&lt;&gt;"",OFFSET(AJ$12,2,0,$A$12*2-1),0)))/$E$39</f>
        <v>0.47207588865877192</v>
      </c>
      <c r="AK41" s="219">
        <f t="array" aca="1" ref="AK41" ca="1">SUMPRODUCT(((OFFSET($E$12,1,0,$A$12*2-1))*ISNUMBER(VALUE(OFFSET($C$12,1,0,$A$12*2-1))))*(IF(OFFSET(AK$12,2,0,$A$12*2-1)&lt;&gt;"",OFFSET(AK$12,2,0,$A$12*2-1),0)))/$E$39</f>
        <v>0.47207588865877192</v>
      </c>
      <c r="AL41" s="220">
        <f t="array" aca="1" ref="AL41" ca="1">SUMPRODUCT(((OFFSET($E$12,1,0,$A$12*2-1))*ISNUMBER(VALUE(OFFSET($C$12,1,0,$A$12*2-1))))*(IF(OFFSET(AL$12,2,0,$A$12*2-1)&lt;&gt;"",OFFSET(AL$12,2,0,$A$12*2-1),0)))/$E$39</f>
        <v>0.47207588865877192</v>
      </c>
      <c r="AM41" s="219">
        <f t="array" aca="1" ref="AM41" ca="1">SUMPRODUCT(((OFFSET($E$12,1,0,$A$12*2-1))*ISNUMBER(VALUE(OFFSET($C$12,1,0,$A$12*2-1))))*(IF(OFFSET(AM$12,2,0,$A$12*2-1)&lt;&gt;"",OFFSET(AM$12,2,0,$A$12*2-1),0)))/$E$39</f>
        <v>0.47207588865877192</v>
      </c>
      <c r="AN41" s="219">
        <f t="array" aca="1" ref="AN41" ca="1">SUMPRODUCT(((OFFSET($E$12,1,0,$A$12*2-1))*ISNUMBER(VALUE(OFFSET($C$12,1,0,$A$12*2-1))))*(IF(OFFSET(AN$12,2,0,$A$12*2-1)&lt;&gt;"",OFFSET(AN$12,2,0,$A$12*2-1),0)))/$E$39</f>
        <v>0.47207588865877192</v>
      </c>
      <c r="AO41" s="219">
        <f t="array" aca="1" ref="AO41" ca="1">SUMPRODUCT(((OFFSET($E$12,1,0,$A$12*2-1))*ISNUMBER(VALUE(OFFSET($C$12,1,0,$A$12*2-1))))*(IF(OFFSET(AO$12,2,0,$A$12*2-1)&lt;&gt;"",OFFSET(AO$12,2,0,$A$12*2-1),0)))/$E$39</f>
        <v>0.47207588865877192</v>
      </c>
      <c r="AP41" s="221">
        <f t="array" aca="1" ref="AP41" ca="1">SUMPRODUCT(((OFFSET($E$12,1,0,$A$12*2-1))*ISNUMBER(VALUE(OFFSET($C$12,1,0,$A$12*2-1))))*(IF(OFFSET(AP$12,2,0,$A$12*2-1)&lt;&gt;"",OFFSET(AP$12,2,0,$A$12*2-1),0)))/$E$39</f>
        <v>0.47207588865877192</v>
      </c>
      <c r="AQ41" s="219">
        <f t="array" aca="1" ref="AQ41" ca="1">SUMPRODUCT(((OFFSET($E$12,1,0,$A$12*2-1))*ISNUMBER(VALUE(OFFSET($C$12,1,0,$A$12*2-1))))*(IF(OFFSET(AQ$12,2,0,$A$12*2-1)&lt;&gt;"",OFFSET(AQ$12,2,0,$A$12*2-1),0)))/$E$39</f>
        <v>0.47207588865877192</v>
      </c>
      <c r="AR41" s="221">
        <f t="array" aca="1" ref="AR41" ca="1">SUMPRODUCT(((OFFSET($E$12,1,0,$A$12*2-1))*ISNUMBER(VALUE(OFFSET($C$12,1,0,$A$12*2-1))))*(IF(OFFSET(AR$12,2,0,$A$12*2-1)&lt;&gt;"",OFFSET(AR$12,2,0,$A$12*2-1),0)))/$E$39</f>
        <v>0.47207588865877192</v>
      </c>
      <c r="AS41" s="219">
        <f t="array" aca="1" ref="AS41" ca="1">SUMPRODUCT(((OFFSET($E$12,1,0,$A$12*2-1))*ISNUMBER(VALUE(OFFSET($C$12,1,0,$A$12*2-1))))*(IF(OFFSET(AS$12,2,0,$A$12*2-1)&lt;&gt;"",OFFSET(AS$12,2,0,$A$12*2-1),0)))/$E$39</f>
        <v>0.47207588865877192</v>
      </c>
      <c r="AT41" s="222">
        <f t="array" aca="1" ref="AT41" ca="1">SUMPRODUCT(((OFFSET($E$12,1,0,$A$12*2-1))*ISNUMBER(VALUE(OFFSET($C$12,1,0,$A$12*2-1))))*(IF(OFFSET(AT$12,2,0,$A$12*2-1)&lt;&gt;"",OFFSET(AT$12,2,0,$A$12*2-1),0)))/$E$39</f>
        <v>0.44405511421178179</v>
      </c>
      <c r="AW41" s="382"/>
      <c r="AX41" s="382"/>
      <c r="AY41" s="381"/>
      <c r="BA41" s="87"/>
    </row>
    <row r="42" spans="1:54" s="84" customFormat="1" ht="12.75" customHeight="1" x14ac:dyDescent="0.2">
      <c r="C42" s="390"/>
      <c r="D42" s="391"/>
      <c r="E42" s="385"/>
      <c r="F42" s="90" t="s">
        <v>160</v>
      </c>
      <c r="G42" s="223">
        <f ca="1">G41*$E$39</f>
        <v>0</v>
      </c>
      <c r="H42" s="223">
        <f t="shared" ref="H42:AP42" ca="1" si="15">H41*$E$39</f>
        <v>0</v>
      </c>
      <c r="I42" s="223">
        <f t="shared" ca="1" si="15"/>
        <v>57260.729999999996</v>
      </c>
      <c r="J42" s="223">
        <f t="shared" ca="1" si="15"/>
        <v>1632435.21</v>
      </c>
      <c r="K42" s="223">
        <f t="shared" ca="1" si="15"/>
        <v>27031.41</v>
      </c>
      <c r="L42" s="223">
        <f t="shared" ca="1" si="15"/>
        <v>27031.41</v>
      </c>
      <c r="M42" s="223">
        <f t="shared" ca="1" si="15"/>
        <v>27031.41</v>
      </c>
      <c r="N42" s="224">
        <f t="shared" ca="1" si="15"/>
        <v>27031.41</v>
      </c>
      <c r="O42" s="223">
        <f t="shared" ca="1" si="15"/>
        <v>27031.41</v>
      </c>
      <c r="P42" s="223">
        <f t="shared" ca="1" si="15"/>
        <v>27031.41</v>
      </c>
      <c r="Q42" s="223">
        <f t="shared" ca="1" si="15"/>
        <v>27031.41</v>
      </c>
      <c r="R42" s="223">
        <f t="shared" ca="1" si="15"/>
        <v>27031.41</v>
      </c>
      <c r="S42" s="223">
        <f t="shared" ca="1" si="15"/>
        <v>27031.41</v>
      </c>
      <c r="T42" s="223">
        <f t="shared" ca="1" si="15"/>
        <v>27031.41</v>
      </c>
      <c r="U42" s="223">
        <f t="shared" ca="1" si="15"/>
        <v>27031.41</v>
      </c>
      <c r="V42" s="224">
        <f t="shared" ca="1" si="15"/>
        <v>27031.41</v>
      </c>
      <c r="W42" s="223">
        <f t="shared" ca="1" si="15"/>
        <v>27031.41</v>
      </c>
      <c r="X42" s="223">
        <f t="shared" ca="1" si="15"/>
        <v>27031.41</v>
      </c>
      <c r="Y42" s="223">
        <f t="shared" ca="1" si="15"/>
        <v>27031.41</v>
      </c>
      <c r="Z42" s="223">
        <f t="shared" ca="1" si="15"/>
        <v>27031.41</v>
      </c>
      <c r="AA42" s="223">
        <f t="shared" ca="1" si="15"/>
        <v>27031.41</v>
      </c>
      <c r="AB42" s="223">
        <f t="shared" ca="1" si="15"/>
        <v>27031.41</v>
      </c>
      <c r="AC42" s="223">
        <f t="shared" ca="1" si="15"/>
        <v>27031.41</v>
      </c>
      <c r="AD42" s="224">
        <f t="shared" ca="1" si="15"/>
        <v>27031.41</v>
      </c>
      <c r="AE42" s="223">
        <f t="shared" ca="1" si="15"/>
        <v>27031.41</v>
      </c>
      <c r="AF42" s="223">
        <f t="shared" ca="1" si="15"/>
        <v>27031.41</v>
      </c>
      <c r="AG42" s="223">
        <f t="shared" ca="1" si="15"/>
        <v>27031.41</v>
      </c>
      <c r="AH42" s="223">
        <f t="shared" ca="1" si="15"/>
        <v>27031.41</v>
      </c>
      <c r="AI42" s="223">
        <f t="shared" ca="1" si="15"/>
        <v>27031.41</v>
      </c>
      <c r="AJ42" s="223">
        <f t="shared" ca="1" si="15"/>
        <v>27031.41</v>
      </c>
      <c r="AK42" s="223">
        <f t="shared" ca="1" si="15"/>
        <v>27031.41</v>
      </c>
      <c r="AL42" s="224">
        <f t="shared" ca="1" si="15"/>
        <v>27031.41</v>
      </c>
      <c r="AM42" s="223">
        <f t="shared" ca="1" si="15"/>
        <v>27031.41</v>
      </c>
      <c r="AN42" s="223">
        <f t="shared" ca="1" si="15"/>
        <v>27031.41</v>
      </c>
      <c r="AO42" s="223">
        <f t="shared" ca="1" si="15"/>
        <v>27031.41</v>
      </c>
      <c r="AP42" s="223">
        <f t="shared" ca="1" si="15"/>
        <v>27031.41</v>
      </c>
      <c r="AQ42" s="223">
        <f ca="1">AQ41*$E$39</f>
        <v>27031.41</v>
      </c>
      <c r="AR42" s="223">
        <f ca="1">AR41*$E$39</f>
        <v>27031.41</v>
      </c>
      <c r="AS42" s="223">
        <f ca="1">AS41*$E$39</f>
        <v>27031.41</v>
      </c>
      <c r="AT42" s="224">
        <f ca="1">AT41*$E$39</f>
        <v>25426.92</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42544</v>
      </c>
      <c r="G44" s="98" t="s">
        <v>161</v>
      </c>
      <c r="H44" s="378"/>
      <c r="I44" s="379"/>
      <c r="J44" s="379"/>
      <c r="K44" s="379"/>
      <c r="L44" s="379"/>
      <c r="M44" s="379"/>
      <c r="N44" s="38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64"/>
      <c r="E47" s="364"/>
      <c r="F47" s="99"/>
      <c r="G47" s="104"/>
      <c r="H47" s="363"/>
      <c r="I47" s="363"/>
      <c r="J47" s="363"/>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64"/>
      <c r="E48" s="364"/>
      <c r="F48" s="99"/>
      <c r="G48" s="104"/>
      <c r="H48" s="363"/>
      <c r="I48" s="363"/>
      <c r="J48" s="363"/>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65"/>
      <c r="E49" s="364"/>
      <c r="F49" s="99"/>
      <c r="G49" s="104"/>
      <c r="H49" s="363"/>
      <c r="I49" s="363"/>
      <c r="J49" s="363"/>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E15:E16"/>
    <mergeCell ref="D15:D16"/>
    <mergeCell ref="C25:C26"/>
    <mergeCell ref="D25:D26"/>
    <mergeCell ref="E25:E26"/>
    <mergeCell ref="C19:C20"/>
    <mergeCell ref="D19:D20"/>
    <mergeCell ref="E19:E20"/>
    <mergeCell ref="C21:C22"/>
    <mergeCell ref="D21:D22"/>
    <mergeCell ref="E21:E22"/>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H44:N44"/>
    <mergeCell ref="E35:E36"/>
    <mergeCell ref="C35:C36"/>
    <mergeCell ref="D35:D36"/>
    <mergeCell ref="C31:C32"/>
    <mergeCell ref="C33:C34"/>
    <mergeCell ref="D33:D34"/>
    <mergeCell ref="E33:E34"/>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9:J49"/>
    <mergeCell ref="D47:E47"/>
    <mergeCell ref="D48:E48"/>
    <mergeCell ref="D49:E49"/>
    <mergeCell ref="H48:J48"/>
    <mergeCell ref="H47:J47"/>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2016-06-23T04:05:13Z</cp:lastPrinted>
  <dcterms:created xsi:type="dcterms:W3CDTF">1998-03-27T18:43:07Z</dcterms:created>
  <dcterms:modified xsi:type="dcterms:W3CDTF">2016-06-23T04:06:18Z</dcterms:modified>
</cp:coreProperties>
</file>